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30" windowWidth="9720" windowHeight="7200" tabRatio="889"/>
  </bookViews>
  <sheets>
    <sheet name="PRESUP " sheetId="10" r:id="rId1"/>
  </sheets>
  <definedNames>
    <definedName name="_F" localSheetId="0">'PRESUP '!#REF!</definedName>
    <definedName name="_F">#REF!</definedName>
    <definedName name="_xlnm._FilterDatabase" localSheetId="0" hidden="1">'PRESUP '!#REF!</definedName>
    <definedName name="_Regression_Int" localSheetId="0" hidden="1">1</definedName>
    <definedName name="A" localSheetId="0">'PRESUP '!#REF!</definedName>
    <definedName name="A">#REF!</definedName>
    <definedName name="_xlnm.Print_Area" localSheetId="0">'PRESUP '!$A$1:$G$210</definedName>
    <definedName name="G" localSheetId="0">#REF!</definedName>
    <definedName name="G">#REF!</definedName>
    <definedName name="Print_Area_MI" localSheetId="0">'PRESUP '!$A$10:$F$182</definedName>
    <definedName name="_xlnm.Print_Titles" localSheetId="0">'PRESUP '!$1:$10</definedName>
  </definedNames>
  <calcPr calcId="144525" fullPrecision="0"/>
</workbook>
</file>

<file path=xl/calcChain.xml><?xml version="1.0" encoding="utf-8"?>
<calcChain xmlns="http://schemas.openxmlformats.org/spreadsheetml/2006/main">
  <c r="G194" i="10" l="1"/>
  <c r="F130" i="10" l="1"/>
  <c r="C36" i="10"/>
  <c r="F36" i="10" s="1"/>
  <c r="F78" i="10" l="1"/>
  <c r="F80" i="10" l="1"/>
  <c r="F79" i="10"/>
  <c r="F180" i="10"/>
  <c r="F179" i="10"/>
  <c r="F157" i="10"/>
  <c r="F156" i="10"/>
  <c r="F153" i="10"/>
  <c r="C169" i="10"/>
  <c r="F169" i="10" s="1"/>
  <c r="C164" i="10"/>
  <c r="F164" i="10" s="1"/>
  <c r="C163" i="10"/>
  <c r="F163" i="10" s="1"/>
  <c r="C160" i="10"/>
  <c r="C161" i="10" s="1"/>
  <c r="F161" i="10" s="1"/>
  <c r="C159" i="10"/>
  <c r="F159" i="10" s="1"/>
  <c r="C158" i="10"/>
  <c r="F158" i="10" s="1"/>
  <c r="A155" i="10"/>
  <c r="A157" i="10" s="1"/>
  <c r="A162" i="10" s="1"/>
  <c r="A168" i="10" s="1"/>
  <c r="A173" i="10" s="1"/>
  <c r="A179" i="10" s="1"/>
  <c r="A180" i="10" s="1"/>
  <c r="C150" i="10"/>
  <c r="C152" i="10" s="1"/>
  <c r="C151" i="10" s="1"/>
  <c r="F151" i="10" s="1"/>
  <c r="A150" i="10"/>
  <c r="A151" i="10" s="1"/>
  <c r="A152" i="10" s="1"/>
  <c r="A153" i="10" s="1"/>
  <c r="F146" i="10"/>
  <c r="A129" i="10"/>
  <c r="A136" i="10" s="1"/>
  <c r="A139" i="10" s="1"/>
  <c r="A146" i="10" s="1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29" i="10"/>
  <c r="F127" i="10"/>
  <c r="F126" i="10"/>
  <c r="F125" i="10"/>
  <c r="F121" i="10"/>
  <c r="F124" i="10"/>
  <c r="A124" i="10"/>
  <c r="A125" i="10" s="1"/>
  <c r="A126" i="10" s="1"/>
  <c r="A127" i="10" s="1"/>
  <c r="A120" i="10"/>
  <c r="A121" i="10" s="1"/>
  <c r="F120" i="10"/>
  <c r="F115" i="10"/>
  <c r="F57" i="10"/>
  <c r="C114" i="10"/>
  <c r="F114" i="10" s="1"/>
  <c r="C99" i="10"/>
  <c r="F99" i="10" s="1"/>
  <c r="F56" i="10"/>
  <c r="C103" i="10"/>
  <c r="F103" i="10" s="1"/>
  <c r="C102" i="10"/>
  <c r="F102" i="10" s="1"/>
  <c r="C113" i="10"/>
  <c r="F113" i="10" s="1"/>
  <c r="F112" i="10"/>
  <c r="C111" i="10"/>
  <c r="F111" i="10" s="1"/>
  <c r="C110" i="10"/>
  <c r="F110" i="10" s="1"/>
  <c r="F109" i="10"/>
  <c r="F108" i="10"/>
  <c r="F107" i="10"/>
  <c r="F106" i="10"/>
  <c r="F105" i="10"/>
  <c r="F104" i="10"/>
  <c r="F101" i="10"/>
  <c r="F100" i="10"/>
  <c r="C76" i="10"/>
  <c r="F76" i="10" s="1"/>
  <c r="C33" i="10"/>
  <c r="F33" i="10" s="1"/>
  <c r="C98" i="10"/>
  <c r="F98" i="10" s="1"/>
  <c r="C97" i="10"/>
  <c r="F97" i="10" s="1"/>
  <c r="C95" i="10"/>
  <c r="C96" i="10" s="1"/>
  <c r="F96" i="10" s="1"/>
  <c r="F94" i="10"/>
  <c r="C73" i="10"/>
  <c r="C30" i="10"/>
  <c r="F30" i="10" s="1"/>
  <c r="C93" i="10"/>
  <c r="F93" i="10" s="1"/>
  <c r="C92" i="10"/>
  <c r="F92" i="10" s="1"/>
  <c r="C91" i="10"/>
  <c r="F91" i="10" s="1"/>
  <c r="C88" i="10"/>
  <c r="F88" i="10" s="1"/>
  <c r="C87" i="10"/>
  <c r="F87" i="10" s="1"/>
  <c r="F90" i="10"/>
  <c r="F86" i="10"/>
  <c r="A84" i="10"/>
  <c r="A86" i="10" s="1"/>
  <c r="A90" i="10" s="1"/>
  <c r="A94" i="10" s="1"/>
  <c r="A100" i="10" s="1"/>
  <c r="A115" i="10" s="1"/>
  <c r="F85" i="10"/>
  <c r="F150" i="10" l="1"/>
  <c r="G121" i="10"/>
  <c r="G127" i="10"/>
  <c r="G146" i="10"/>
  <c r="F152" i="10"/>
  <c r="F95" i="10"/>
  <c r="F160" i="10"/>
  <c r="C165" i="10"/>
  <c r="F165" i="10" s="1"/>
  <c r="C166" i="10"/>
  <c r="F166" i="10" s="1"/>
  <c r="C167" i="10"/>
  <c r="F167" i="10" s="1"/>
  <c r="C170" i="10"/>
  <c r="F170" i="10" s="1"/>
  <c r="C174" i="10"/>
  <c r="F174" i="10" s="1"/>
  <c r="C176" i="10"/>
  <c r="F176" i="10" s="1"/>
  <c r="C178" i="10"/>
  <c r="F178" i="10" s="1"/>
  <c r="C89" i="10"/>
  <c r="F89" i="10" s="1"/>
  <c r="G153" i="10" l="1"/>
  <c r="G115" i="10"/>
  <c r="C177" i="10"/>
  <c r="F177" i="10" s="1"/>
  <c r="C175" i="10"/>
  <c r="F175" i="10" s="1"/>
  <c r="G180" i="10" l="1"/>
  <c r="F181" i="10" l="1"/>
  <c r="F77" i="10"/>
  <c r="C75" i="10"/>
  <c r="F75" i="10" s="1"/>
  <c r="C74" i="10"/>
  <c r="F74" i="10" s="1"/>
  <c r="F72" i="10"/>
  <c r="C71" i="10"/>
  <c r="F71" i="10" s="1"/>
  <c r="C69" i="10"/>
  <c r="F69" i="10" s="1"/>
  <c r="C68" i="10"/>
  <c r="F68" i="10" s="1"/>
  <c r="C67" i="10"/>
  <c r="F67" i="10" s="1"/>
  <c r="F66" i="10"/>
  <c r="C64" i="10"/>
  <c r="C65" i="10" s="1"/>
  <c r="F65" i="10" s="1"/>
  <c r="C63" i="10"/>
  <c r="F63" i="10" s="1"/>
  <c r="F62" i="10"/>
  <c r="F61" i="10"/>
  <c r="F60" i="10"/>
  <c r="A60" i="10"/>
  <c r="A62" i="10" s="1"/>
  <c r="A66" i="10" s="1"/>
  <c r="A72" i="10" s="1"/>
  <c r="F59" i="10"/>
  <c r="C55" i="10"/>
  <c r="F55" i="10" s="1"/>
  <c r="C54" i="10"/>
  <c r="F54" i="10" s="1"/>
  <c r="C53" i="10"/>
  <c r="F53" i="10" s="1"/>
  <c r="C52" i="10"/>
  <c r="F52" i="10" s="1"/>
  <c r="F51" i="10"/>
  <c r="C50" i="10"/>
  <c r="F50" i="10" s="1"/>
  <c r="F49" i="10"/>
  <c r="C46" i="10"/>
  <c r="F46" i="10" s="1"/>
  <c r="C45" i="10"/>
  <c r="F45" i="10" s="1"/>
  <c r="F44" i="10"/>
  <c r="C43" i="10"/>
  <c r="F43" i="10" s="1"/>
  <c r="F42" i="10"/>
  <c r="C41" i="10"/>
  <c r="F41" i="10" s="1"/>
  <c r="C40" i="10"/>
  <c r="F40" i="10" s="1"/>
  <c r="F39" i="10"/>
  <c r="C38" i="10"/>
  <c r="F38" i="10" s="1"/>
  <c r="C37" i="10"/>
  <c r="F37" i="10" s="1"/>
  <c r="F35" i="10"/>
  <c r="F34" i="10"/>
  <c r="C32" i="10"/>
  <c r="F32" i="10" s="1"/>
  <c r="C31" i="10"/>
  <c r="F31" i="10" s="1"/>
  <c r="F29" i="10"/>
  <c r="C28" i="10"/>
  <c r="F28" i="10" s="1"/>
  <c r="C27" i="10"/>
  <c r="F27" i="10" s="1"/>
  <c r="C26" i="10"/>
  <c r="F26" i="10" s="1"/>
  <c r="C25" i="10"/>
  <c r="F25" i="10" s="1"/>
  <c r="C24" i="10"/>
  <c r="F24" i="10" s="1"/>
  <c r="C23" i="10"/>
  <c r="F23" i="10" s="1"/>
  <c r="C22" i="10"/>
  <c r="F22" i="10" s="1"/>
  <c r="C21" i="10"/>
  <c r="F21" i="10" s="1"/>
  <c r="C20" i="10"/>
  <c r="F20" i="10" s="1"/>
  <c r="F19" i="10"/>
  <c r="C17" i="10"/>
  <c r="F17" i="10" s="1"/>
  <c r="C16" i="10"/>
  <c r="F16" i="10" s="1"/>
  <c r="F15" i="10"/>
  <c r="F14" i="10"/>
  <c r="F13" i="10"/>
  <c r="A13" i="10"/>
  <c r="A15" i="10" s="1"/>
  <c r="A19" i="10" s="1"/>
  <c r="A28" i="10" s="1"/>
  <c r="A29" i="10" s="1"/>
  <c r="A34" i="10" s="1"/>
  <c r="A55" i="10" s="1"/>
  <c r="A56" i="10" s="1"/>
  <c r="A57" i="10" s="1"/>
  <c r="F11" i="10"/>
  <c r="F64" i="10" l="1"/>
  <c r="G80" i="10" s="1"/>
  <c r="C18" i="10"/>
  <c r="F18" i="10" s="1"/>
  <c r="G57" i="10" s="1"/>
  <c r="G182" i="10" l="1"/>
  <c r="G183" i="10" s="1"/>
  <c r="H181" i="10"/>
  <c r="F189" i="10" l="1"/>
  <c r="F185" i="10"/>
  <c r="F188" i="10"/>
  <c r="F187" i="10"/>
  <c r="F186" i="10"/>
  <c r="F190" i="10"/>
  <c r="G192" i="10" l="1"/>
</calcChain>
</file>

<file path=xl/sharedStrings.xml><?xml version="1.0" encoding="utf-8"?>
<sst xmlns="http://schemas.openxmlformats.org/spreadsheetml/2006/main" count="404" uniqueCount="244">
  <si>
    <t>CORPORACION DEL ACUEDUCTO Y ALCANTARILLADO DE SANTO DOMINGO</t>
  </si>
  <si>
    <t>PRECIO</t>
  </si>
  <si>
    <t>CANTIDAD</t>
  </si>
  <si>
    <t>UD</t>
  </si>
  <si>
    <t>TOTAL DE GASTOS INDIRECTOS</t>
  </si>
  <si>
    <t>Trabajos Preliminares:</t>
  </si>
  <si>
    <t>ML</t>
  </si>
  <si>
    <t>M3</t>
  </si>
  <si>
    <t>PA</t>
  </si>
  <si>
    <t>Terminación de Superficie:</t>
  </si>
  <si>
    <t xml:space="preserve">DESARENADOR A CONSTRUIR  </t>
  </si>
  <si>
    <t>Cantos</t>
  </si>
  <si>
    <t>Pintura acrílica</t>
  </si>
  <si>
    <t>3.1.1</t>
  </si>
  <si>
    <t>M2</t>
  </si>
  <si>
    <t>PL</t>
  </si>
  <si>
    <t xml:space="preserve">SUB-TOTAL  GENERAL </t>
  </si>
  <si>
    <t>2.3.1</t>
  </si>
  <si>
    <t>* * * C. A. A. S. D. * * *</t>
  </si>
  <si>
    <t>No.</t>
  </si>
  <si>
    <t>DESCRIPCION</t>
  </si>
  <si>
    <t>COSTO RD$</t>
  </si>
  <si>
    <t>SUB TOTAL RD$</t>
  </si>
  <si>
    <t>TOTAL GENERAL A CONTRATAR</t>
  </si>
  <si>
    <t>Sometido por :</t>
  </si>
  <si>
    <t>___________________________</t>
  </si>
  <si>
    <t>Visto Bueno por:</t>
  </si>
  <si>
    <t>Aprobado por :</t>
  </si>
  <si>
    <t>Placas divisorias de flujo, en acero inoxidable</t>
  </si>
  <si>
    <t>Instalación de Compuerta y Rejilla</t>
  </si>
  <si>
    <t>Losa de Hormigón Armado con perforaciones</t>
  </si>
  <si>
    <t>Terminación</t>
  </si>
  <si>
    <t>Pintura</t>
  </si>
  <si>
    <t>Impermeabilizante</t>
  </si>
  <si>
    <t>Portage</t>
  </si>
  <si>
    <t>Hormigón Armado en:</t>
  </si>
  <si>
    <t>1.1.1</t>
  </si>
  <si>
    <t>2.1.1</t>
  </si>
  <si>
    <t>Viajes</t>
  </si>
  <si>
    <t>Replanteo y Control Topográfico</t>
  </si>
  <si>
    <t>Movimiento de Tierra:</t>
  </si>
  <si>
    <t>Relleno Compactado con Equipos</t>
  </si>
  <si>
    <t>1.2.1</t>
  </si>
  <si>
    <t>1.2.2</t>
  </si>
  <si>
    <t>1.2.3</t>
  </si>
  <si>
    <t>1.3.1</t>
  </si>
  <si>
    <t>Losa de Fondo</t>
  </si>
  <si>
    <t>Muro Perimetral</t>
  </si>
  <si>
    <t>Canaleta Lateral</t>
  </si>
  <si>
    <t>Columna Soporte Viga</t>
  </si>
  <si>
    <t>Placa Deflectora</t>
  </si>
  <si>
    <t>1.3.2</t>
  </si>
  <si>
    <t>1.3.3</t>
  </si>
  <si>
    <t>1.3.4</t>
  </si>
  <si>
    <t>1.3.5</t>
  </si>
  <si>
    <t>1.3.6</t>
  </si>
  <si>
    <t>1.3.7</t>
  </si>
  <si>
    <t>1.3.8</t>
  </si>
  <si>
    <t>1.5.1</t>
  </si>
  <si>
    <t>Pañete Interior Pulido</t>
  </si>
  <si>
    <t>Fino Losa de Fondo</t>
  </si>
  <si>
    <t>1.5.2</t>
  </si>
  <si>
    <t>1.6.1</t>
  </si>
  <si>
    <t>1.6.1.1</t>
  </si>
  <si>
    <t>Tee de:</t>
  </si>
  <si>
    <t>1.6.2</t>
  </si>
  <si>
    <t>1.6.2.1</t>
  </si>
  <si>
    <t>Ø8"  SDR 32.5</t>
  </si>
  <si>
    <t>Cruz de:</t>
  </si>
  <si>
    <t>Codo de:</t>
  </si>
  <si>
    <t>1.6.3</t>
  </si>
  <si>
    <t>1.6.3.1</t>
  </si>
  <si>
    <t>1.6.4</t>
  </si>
  <si>
    <t>1.6.4.1</t>
  </si>
  <si>
    <t>1.6.4.2</t>
  </si>
  <si>
    <t>1.6.5</t>
  </si>
  <si>
    <t>1.6.5.1</t>
  </si>
  <si>
    <t>1.6.6</t>
  </si>
  <si>
    <t>Cemento Solvente</t>
  </si>
  <si>
    <t>GL</t>
  </si>
  <si>
    <t>1.6.6.1</t>
  </si>
  <si>
    <t>1.6.7</t>
  </si>
  <si>
    <t>Zapata de Columna</t>
  </si>
  <si>
    <t xml:space="preserve">Columna Soporte </t>
  </si>
  <si>
    <t>2.3.2</t>
  </si>
  <si>
    <t>2.3.3</t>
  </si>
  <si>
    <t>2.3.4</t>
  </si>
  <si>
    <t>2.4.1</t>
  </si>
  <si>
    <t>Pañete Pulido</t>
  </si>
  <si>
    <t>Excavación con Retro Excavadora</t>
  </si>
  <si>
    <t>Relleno de Reposición</t>
  </si>
  <si>
    <t>Hormigón de Baja Resistencia Para Nivelación</t>
  </si>
  <si>
    <t>Base Tuberías</t>
  </si>
  <si>
    <t>Viga Transversal</t>
  </si>
  <si>
    <t>Vertedero Metálico Tipo Triangular de 90 Grados ( 15.00 x0.20 x0.20)</t>
  </si>
  <si>
    <t>Suministro y Colocación Tuberías y Piezas:</t>
  </si>
  <si>
    <t>Tuberías de:</t>
  </si>
  <si>
    <t>Reducción de:</t>
  </si>
  <si>
    <t>Válvula de Compuerta de:</t>
  </si>
  <si>
    <t>Construcción de Registro en Ladrillo de 2.5 a 3.00 Mts</t>
  </si>
  <si>
    <t>COSTRUCCION DE REACTOR ANAEROBICO           (2 UD)</t>
  </si>
  <si>
    <t>CONSTRUCCION LECHOS DE SECADO:</t>
  </si>
  <si>
    <t>Muro Perimetral y Transversal</t>
  </si>
  <si>
    <t>Fraguache Interior</t>
  </si>
  <si>
    <t>1.5.3</t>
  </si>
  <si>
    <t xml:space="preserve">Fraguache </t>
  </si>
  <si>
    <t>2.4.2</t>
  </si>
  <si>
    <t>Canto</t>
  </si>
  <si>
    <t>1.5.4</t>
  </si>
  <si>
    <t>2.4.3</t>
  </si>
  <si>
    <t>2.4.4</t>
  </si>
  <si>
    <t>3.2.1</t>
  </si>
  <si>
    <t>3.2.2</t>
  </si>
  <si>
    <t>3.2.3</t>
  </si>
  <si>
    <t>3.3.1</t>
  </si>
  <si>
    <t>3.3.2</t>
  </si>
  <si>
    <t>3.3.3</t>
  </si>
  <si>
    <t>3.4.1</t>
  </si>
  <si>
    <t>3.4.2</t>
  </si>
  <si>
    <t>3.4.3</t>
  </si>
  <si>
    <t>3.4.4</t>
  </si>
  <si>
    <t>3.5.1</t>
  </si>
  <si>
    <t>3.5.1.1</t>
  </si>
  <si>
    <t>Ø8" x  90º PVC Semi Presión</t>
  </si>
  <si>
    <t>Ø6" x  90º PVC Semi Presión</t>
  </si>
  <si>
    <t>Ø8" PVC Semi Presión</t>
  </si>
  <si>
    <t>Ø8" x  8" PVC Semi Presión</t>
  </si>
  <si>
    <t>Ø8" x  4" PVC Semi Presión</t>
  </si>
  <si>
    <t>Ø8" HG Completa</t>
  </si>
  <si>
    <t>Ø6" HG Completa</t>
  </si>
  <si>
    <t>Ø8" x  6" PVC Semi Presión</t>
  </si>
  <si>
    <t>Ø8" x  6" PVC  Semi Presión</t>
  </si>
  <si>
    <t>Ø8" x  6"PVC  Semi Presión</t>
  </si>
  <si>
    <t>Suministro y Colocación Material Granular</t>
  </si>
  <si>
    <t>3.5.1.2</t>
  </si>
  <si>
    <t>3.5.2</t>
  </si>
  <si>
    <t>3.5.2.1</t>
  </si>
  <si>
    <t>3.5.2.2</t>
  </si>
  <si>
    <t>3.5.3</t>
  </si>
  <si>
    <t>3.5.3.1</t>
  </si>
  <si>
    <t>3.5.4</t>
  </si>
  <si>
    <t>3.5.4.1</t>
  </si>
  <si>
    <t>3.5.4.2</t>
  </si>
  <si>
    <t>3.5.5</t>
  </si>
  <si>
    <t>3.5.5.1</t>
  </si>
  <si>
    <t>3.5.6</t>
  </si>
  <si>
    <t>Limpieza Final</t>
  </si>
  <si>
    <t>Bote de Escombros</t>
  </si>
  <si>
    <t>LIMPIEZA DE:</t>
  </si>
  <si>
    <t>DESARENADOR EXISTENTE:</t>
  </si>
  <si>
    <t>Bote de Material Producto de Limpieza</t>
  </si>
  <si>
    <t xml:space="preserve">Pintura </t>
  </si>
  <si>
    <t>REPARACION CASETA DE OPERADOR:</t>
  </si>
  <si>
    <t>Limpieza Baños c/decalín</t>
  </si>
  <si>
    <t xml:space="preserve">Mano de Obra </t>
  </si>
  <si>
    <t>Trabajos de Plomería:</t>
  </si>
  <si>
    <t>6.1.1</t>
  </si>
  <si>
    <t>6.1.2</t>
  </si>
  <si>
    <t>6.1.3</t>
  </si>
  <si>
    <t>6.1.4</t>
  </si>
  <si>
    <t>6.1.5</t>
  </si>
  <si>
    <t>Cerámica Piso de Baño y Pileta</t>
  </si>
  <si>
    <t>Resane Piso de Cemento Pulido</t>
  </si>
  <si>
    <t xml:space="preserve">Pañete Exterior de la Caseta </t>
  </si>
  <si>
    <t>Pañete Registros Existentes</t>
  </si>
  <si>
    <t>6.2.1</t>
  </si>
  <si>
    <t>6.2.2</t>
  </si>
  <si>
    <t>6.3.1</t>
  </si>
  <si>
    <t>6.3.2</t>
  </si>
  <si>
    <t>6.3.3</t>
  </si>
  <si>
    <t>6.3.4</t>
  </si>
  <si>
    <t>6.3.5</t>
  </si>
  <si>
    <t>6.3.6</t>
  </si>
  <si>
    <t>CONSTRUCCION DE CUATRO FILTRANTES Ø14" ENCAMISADOS EN Ø12" PVC</t>
  </si>
  <si>
    <t>Perforación 12"</t>
  </si>
  <si>
    <t>Tapas de tola</t>
  </si>
  <si>
    <t>Suministro Tubería de 12" acero</t>
  </si>
  <si>
    <t>Ranurado y Encamisado Tubería de 12" Acero</t>
  </si>
  <si>
    <t>Replanteo</t>
  </si>
  <si>
    <t>Movimiento de tierra:</t>
  </si>
  <si>
    <t>Excavación</t>
  </si>
  <si>
    <t>Suministro y Colocación de Colchón de Piedras</t>
  </si>
  <si>
    <t>Zapata de Columnas P = 0.80 qq/m3</t>
  </si>
  <si>
    <t>Columnas P = 4.50 qq/m3</t>
  </si>
  <si>
    <t>Viga de Coronación P = 2.16 qq/m3</t>
  </si>
  <si>
    <t>Terminación de superficie:</t>
  </si>
  <si>
    <t>Pañete en Vigas y Columnas</t>
  </si>
  <si>
    <t>Fraguache</t>
  </si>
  <si>
    <t>Suministro y Colocación de Alambre Tipo Trinchera (Incl. Base Tipo Y )</t>
  </si>
  <si>
    <t>Limpieza final</t>
  </si>
  <si>
    <t>Bote de Material Sobrante</t>
  </si>
  <si>
    <t>Zapata de Muros de Bloques P = 0.70 qq/m3</t>
  </si>
  <si>
    <t>Viga de Amarre Inferior P = 6.44 qq/m3</t>
  </si>
  <si>
    <t>Muros de Bloques de:</t>
  </si>
  <si>
    <t>0.15 mt. Bajo Nivel de Piso</t>
  </si>
  <si>
    <t>0.15 mt. Sobre Nivel de Piso Violinado</t>
  </si>
  <si>
    <t>Puerta Entrada</t>
  </si>
  <si>
    <t>8.1.1</t>
  </si>
  <si>
    <t>8.2.1</t>
  </si>
  <si>
    <t>8.2.2</t>
  </si>
  <si>
    <t>8.2.3</t>
  </si>
  <si>
    <t>8.2.4</t>
  </si>
  <si>
    <t>8.3.1</t>
  </si>
  <si>
    <t>8.3.2</t>
  </si>
  <si>
    <t>8.3.3</t>
  </si>
  <si>
    <t>8.3.4</t>
  </si>
  <si>
    <t>8.3.5</t>
  </si>
  <si>
    <t>8.4.1</t>
  </si>
  <si>
    <t>8.4.2</t>
  </si>
  <si>
    <t>8.5.1</t>
  </si>
  <si>
    <t>8.5.2</t>
  </si>
  <si>
    <t>8.5.3</t>
  </si>
  <si>
    <t>8.5.4</t>
  </si>
  <si>
    <t>8.5.5</t>
  </si>
  <si>
    <t>Preparado por :</t>
  </si>
  <si>
    <t>Tapón de:</t>
  </si>
  <si>
    <t>Area Planta (Extracción de Maleza con Equipos Menores)</t>
  </si>
  <si>
    <t>Area Desarenador(Extracción de Lodos )</t>
  </si>
  <si>
    <t>Sustituciones Compuertas y Válvulas</t>
  </si>
  <si>
    <t>Electrificación</t>
  </si>
  <si>
    <t xml:space="preserve">DIRECCION TECNICA </t>
  </si>
  <si>
    <t xml:space="preserve">GASTOS ADMINISTRATIVOS </t>
  </si>
  <si>
    <t xml:space="preserve">SEGURO Y FIANZAS </t>
  </si>
  <si>
    <t xml:space="preserve">TRANSPORTE </t>
  </si>
  <si>
    <t xml:space="preserve">LEY # 6/86 </t>
  </si>
  <si>
    <t xml:space="preserve">SUPERVISION </t>
  </si>
  <si>
    <t>VERJA PERIMETRAL EN MUROS DE BLOCKS DE 6 PULGADAS:</t>
  </si>
  <si>
    <t xml:space="preserve">Ø4"  SDR 32.5 Con Orificios </t>
  </si>
  <si>
    <t>Ø6"  SDR 32.5 Con Orificios de 3 Pulgada Cada Tres Metros</t>
  </si>
  <si>
    <t>Suministro y Colocación Tornillo                         de Arquímedes</t>
  </si>
  <si>
    <t>Base (Hormigon de Baja Resistencia Para              Nivelación)</t>
  </si>
  <si>
    <t>Ø20"  SDR 32.5 (Para Conexión de Reactor  a Laguna)</t>
  </si>
  <si>
    <t>1.6.1.2</t>
  </si>
  <si>
    <t>1.6.1.3</t>
  </si>
  <si>
    <t xml:space="preserve">Suministro y Colocación de Inodoro </t>
  </si>
  <si>
    <t>Suministro y Colocación de Fregadero</t>
  </si>
  <si>
    <t>Suministro y Colocación de lavamanos</t>
  </si>
  <si>
    <t>Suministro y Colocación de Meseta Fregadero</t>
  </si>
  <si>
    <t>6.1.6</t>
  </si>
  <si>
    <t>Suministro y Colocación Puerta Everdoor (incluye marco, llavín e        instalación)</t>
  </si>
  <si>
    <t>Suministro y Colocación de Ventanas</t>
  </si>
  <si>
    <t>Construcción de Registro en Hormigón Armado</t>
  </si>
  <si>
    <t>PRESUPUESTO: REHABILITACION Y AMPLIACION PLANTA DE TRATAMIENTO AGUAS RESIDUALES PRADO DE LA CAÑA, MUNICIPIO SANTO DOMINGO ESTE, PROV. STO DGO.</t>
  </si>
  <si>
    <t xml:space="preserve">Código: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</si>
</sst>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_);\(#,##0.0\)"/>
    <numFmt numFmtId="166" formatCode="0.0"/>
    <numFmt numFmtId="167" formatCode="[$$-80A]#,##0.00;\-[$$-80A]#,##0.00"/>
    <numFmt numFmtId="168" formatCode="0.00_)"/>
    <numFmt numFmtId="169" formatCode="0.0_)"/>
  </numFmts>
  <fonts count="12" x14ac:knownFonts="1">
    <font>
      <sz val="10"/>
      <name val="Courie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Courier"/>
    </font>
    <font>
      <sz val="14"/>
      <color rgb="FF00B050"/>
      <name val="Arial"/>
      <family val="2"/>
    </font>
    <font>
      <sz val="14"/>
      <color rgb="FF0070C0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5">
    <xf numFmtId="39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3">
    <xf numFmtId="39" fontId="0" fillId="0" borderId="0" xfId="0"/>
    <xf numFmtId="0" fontId="3" fillId="0" borderId="0" xfId="0" applyNumberFormat="1" applyFont="1" applyFill="1" applyAlignment="1">
      <alignment vertical="center"/>
    </xf>
    <xf numFmtId="168" fontId="5" fillId="0" borderId="0" xfId="0" applyNumberFormat="1" applyFont="1" applyBorder="1" applyProtection="1"/>
    <xf numFmtId="168" fontId="6" fillId="0" borderId="0" xfId="0" applyNumberFormat="1" applyFont="1" applyBorder="1" applyProtection="1"/>
    <xf numFmtId="0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39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39" fontId="1" fillId="2" borderId="2" xfId="0" applyFont="1" applyFill="1" applyBorder="1" applyAlignment="1" applyProtection="1">
      <alignment horizontal="left" vertical="center" wrapText="1"/>
    </xf>
    <xf numFmtId="39" fontId="1" fillId="2" borderId="2" xfId="0" applyNumberFormat="1" applyFont="1" applyFill="1" applyBorder="1" applyAlignment="1" applyProtection="1">
      <alignment vertical="center"/>
    </xf>
    <xf numFmtId="39" fontId="1" fillId="2" borderId="2" xfId="0" applyNumberFormat="1" applyFont="1" applyFill="1" applyBorder="1" applyAlignment="1" applyProtection="1">
      <alignment horizontal="center" vertical="center" wrapText="1"/>
    </xf>
    <xf numFmtId="39" fontId="1" fillId="2" borderId="2" xfId="0" applyNumberFormat="1" applyFont="1" applyFill="1" applyBorder="1" applyAlignment="1" applyProtection="1">
      <alignment horizontal="right" vertical="center"/>
    </xf>
    <xf numFmtId="167" fontId="1" fillId="2" borderId="2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39" fontId="1" fillId="2" borderId="3" xfId="0" applyNumberFormat="1" applyFont="1" applyFill="1" applyBorder="1" applyAlignment="1" applyProtection="1">
      <alignment vertical="center" wrapText="1"/>
    </xf>
    <xf numFmtId="39" fontId="2" fillId="0" borderId="5" xfId="0" applyNumberFormat="1" applyFont="1" applyFill="1" applyBorder="1" applyAlignment="1" applyProtection="1">
      <alignment vertical="center"/>
    </xf>
    <xf numFmtId="39" fontId="2" fillId="0" borderId="5" xfId="0" applyNumberFormat="1" applyFont="1" applyFill="1" applyBorder="1" applyAlignment="1" applyProtection="1">
      <alignment horizontal="right" vertical="center"/>
    </xf>
    <xf numFmtId="39" fontId="1" fillId="0" borderId="6" xfId="0" applyNumberFormat="1" applyFont="1" applyFill="1" applyBorder="1" applyAlignment="1" applyProtection="1">
      <alignment horizontal="right" vertical="center"/>
    </xf>
    <xf numFmtId="39" fontId="2" fillId="0" borderId="8" xfId="0" applyFont="1" applyBorder="1" applyAlignment="1" applyProtection="1">
      <alignment vertical="center" wrapText="1"/>
    </xf>
    <xf numFmtId="39" fontId="2" fillId="0" borderId="8" xfId="0" applyNumberFormat="1" applyFont="1" applyFill="1" applyBorder="1" applyAlignment="1" applyProtection="1">
      <alignment vertical="center"/>
    </xf>
    <xf numFmtId="39" fontId="2" fillId="0" borderId="8" xfId="0" applyNumberFormat="1" applyFont="1" applyFill="1" applyBorder="1" applyAlignment="1" applyProtection="1">
      <alignment horizontal="center" vertical="center" wrapText="1"/>
    </xf>
    <xf numFmtId="39" fontId="2" fillId="0" borderId="8" xfId="0" applyNumberFormat="1" applyFont="1" applyFill="1" applyBorder="1" applyAlignment="1" applyProtection="1">
      <alignment horizontal="right" vertical="center"/>
    </xf>
    <xf numFmtId="39" fontId="1" fillId="0" borderId="9" xfId="0" applyNumberFormat="1" applyFont="1" applyFill="1" applyBorder="1" applyAlignment="1" applyProtection="1">
      <alignment horizontal="right" vertical="center"/>
    </xf>
    <xf numFmtId="166" fontId="2" fillId="0" borderId="7" xfId="0" applyNumberFormat="1" applyFont="1" applyBorder="1" applyAlignment="1" applyProtection="1">
      <alignment horizontal="right" vertical="center" wrapText="1"/>
    </xf>
    <xf numFmtId="1" fontId="1" fillId="0" borderId="7" xfId="0" applyNumberFormat="1" applyFont="1" applyBorder="1" applyAlignment="1" applyProtection="1">
      <alignment horizontal="right" vertical="center" wrapText="1"/>
    </xf>
    <xf numFmtId="39" fontId="1" fillId="0" borderId="8" xfId="0" applyFont="1" applyBorder="1" applyAlignment="1" applyProtection="1">
      <alignment vertical="center" wrapText="1"/>
    </xf>
    <xf numFmtId="165" fontId="2" fillId="0" borderId="4" xfId="0" applyNumberFormat="1" applyFont="1" applyFill="1" applyBorder="1" applyAlignment="1" applyProtection="1">
      <alignment horizontal="center" vertical="center"/>
    </xf>
    <xf numFmtId="39" fontId="2" fillId="0" borderId="5" xfId="0" applyFont="1" applyFill="1" applyBorder="1" applyAlignment="1" applyProtection="1">
      <alignment vertical="center"/>
    </xf>
    <xf numFmtId="39" fontId="2" fillId="0" borderId="5" xfId="0" applyNumberFormat="1" applyFont="1" applyFill="1" applyBorder="1" applyAlignment="1" applyProtection="1">
      <alignment horizontal="center" vertical="center"/>
    </xf>
    <xf numFmtId="166" fontId="1" fillId="0" borderId="7" xfId="0" applyNumberFormat="1" applyFont="1" applyBorder="1" applyAlignment="1" applyProtection="1">
      <alignment horizontal="right" vertical="center" wrapText="1"/>
    </xf>
    <xf numFmtId="39" fontId="2" fillId="0" borderId="8" xfId="0" applyFont="1" applyFill="1" applyBorder="1" applyAlignment="1" applyProtection="1">
      <alignment vertical="center" wrapText="1"/>
    </xf>
    <xf numFmtId="39" fontId="2" fillId="0" borderId="11" xfId="0" applyFont="1" applyBorder="1" applyAlignment="1" applyProtection="1">
      <alignment vertical="center" wrapText="1"/>
    </xf>
    <xf numFmtId="39" fontId="2" fillId="0" borderId="11" xfId="0" applyNumberFormat="1" applyFont="1" applyFill="1" applyBorder="1" applyAlignment="1" applyProtection="1">
      <alignment vertical="center"/>
    </xf>
    <xf numFmtId="39" fontId="2" fillId="0" borderId="11" xfId="0" applyNumberFormat="1" applyFont="1" applyFill="1" applyBorder="1" applyAlignment="1" applyProtection="1">
      <alignment horizontal="center" vertical="center" wrapText="1"/>
    </xf>
    <xf numFmtId="39" fontId="2" fillId="0" borderId="11" xfId="0" applyNumberFormat="1" applyFont="1" applyFill="1" applyBorder="1" applyAlignment="1" applyProtection="1">
      <alignment horizontal="right" vertical="center"/>
    </xf>
    <xf numFmtId="39" fontId="1" fillId="0" borderId="12" xfId="0" applyNumberFormat="1" applyFont="1" applyFill="1" applyBorder="1" applyAlignment="1" applyProtection="1">
      <alignment horizontal="right" vertical="center"/>
    </xf>
    <xf numFmtId="166" fontId="2" fillId="0" borderId="10" xfId="0" applyNumberFormat="1" applyFont="1" applyBorder="1" applyAlignment="1" applyProtection="1">
      <alignment horizontal="right" vertical="center" wrapText="1"/>
    </xf>
    <xf numFmtId="39" fontId="2" fillId="0" borderId="9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166" fontId="1" fillId="0" borderId="14" xfId="0" applyNumberFormat="1" applyFont="1" applyBorder="1" applyAlignment="1" applyProtection="1">
      <alignment horizontal="right" vertical="center"/>
    </xf>
    <xf numFmtId="39" fontId="2" fillId="0" borderId="15" xfId="0" applyNumberFormat="1" applyFont="1" applyFill="1" applyBorder="1" applyAlignment="1" applyProtection="1">
      <alignment horizontal="right" vertical="center"/>
    </xf>
    <xf numFmtId="39" fontId="2" fillId="0" borderId="15" xfId="0" applyNumberFormat="1" applyFont="1" applyBorder="1" applyAlignment="1" applyProtection="1">
      <alignment horizontal="right" vertical="center"/>
    </xf>
    <xf numFmtId="39" fontId="1" fillId="0" borderId="16" xfId="0" applyNumberFormat="1" applyFont="1" applyBorder="1" applyAlignment="1" applyProtection="1">
      <alignment vertical="center"/>
    </xf>
    <xf numFmtId="39" fontId="2" fillId="0" borderId="16" xfId="0" applyNumberFormat="1" applyFont="1" applyBorder="1" applyAlignment="1" applyProtection="1">
      <alignment vertical="center"/>
    </xf>
    <xf numFmtId="166" fontId="2" fillId="0" borderId="14" xfId="0" applyNumberFormat="1" applyFont="1" applyFill="1" applyBorder="1" applyAlignment="1" applyProtection="1">
      <alignment horizontal="right" vertical="center"/>
    </xf>
    <xf numFmtId="39" fontId="2" fillId="0" borderId="15" xfId="0" applyNumberFormat="1" applyFont="1" applyBorder="1" applyAlignment="1" applyProtection="1">
      <alignment horizontal="center" vertical="center"/>
    </xf>
    <xf numFmtId="166" fontId="2" fillId="0" borderId="14" xfId="0" applyNumberFormat="1" applyFont="1" applyBorder="1" applyAlignment="1" applyProtection="1">
      <alignment horizontal="right" vertical="center"/>
    </xf>
    <xf numFmtId="39" fontId="2" fillId="0" borderId="17" xfId="0" applyFont="1" applyBorder="1" applyAlignment="1" applyProtection="1">
      <alignment vertical="center" wrapText="1"/>
    </xf>
    <xf numFmtId="39" fontId="2" fillId="0" borderId="17" xfId="0" applyNumberFormat="1" applyFont="1" applyFill="1" applyBorder="1" applyAlignment="1" applyProtection="1">
      <alignment vertical="center"/>
    </xf>
    <xf numFmtId="39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/>
    </xf>
    <xf numFmtId="39" fontId="1" fillId="0" borderId="18" xfId="0" applyNumberFormat="1" applyFont="1" applyFill="1" applyBorder="1" applyAlignment="1" applyProtection="1">
      <alignment horizontal="right" vertical="center"/>
    </xf>
    <xf numFmtId="39" fontId="1" fillId="0" borderId="15" xfId="0" applyFont="1" applyBorder="1" applyAlignment="1" applyProtection="1">
      <alignment vertical="center" wrapText="1"/>
    </xf>
    <xf numFmtId="39" fontId="2" fillId="0" borderId="15" xfId="0" applyFont="1" applyBorder="1" applyAlignment="1" applyProtection="1">
      <alignment vertical="center" wrapText="1"/>
    </xf>
    <xf numFmtId="0" fontId="1" fillId="0" borderId="0" xfId="0" applyNumberFormat="1" applyFont="1" applyAlignment="1">
      <alignment horizontal="center" vertical="center"/>
    </xf>
    <xf numFmtId="166" fontId="2" fillId="0" borderId="19" xfId="0" applyNumberFormat="1" applyFont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vertical="center"/>
    </xf>
    <xf numFmtId="39" fontId="2" fillId="0" borderId="20" xfId="0" applyNumberFormat="1" applyFont="1" applyFill="1" applyBorder="1" applyAlignment="1" applyProtection="1">
      <alignment horizontal="center" vertical="center" wrapText="1"/>
    </xf>
    <xf numFmtId="39" fontId="2" fillId="0" borderId="20" xfId="0" applyNumberFormat="1" applyFont="1" applyFill="1" applyBorder="1" applyAlignment="1" applyProtection="1">
      <alignment horizontal="right" vertical="center"/>
    </xf>
    <xf numFmtId="39" fontId="1" fillId="0" borderId="21" xfId="0" applyNumberFormat="1" applyFont="1" applyFill="1" applyBorder="1" applyAlignment="1" applyProtection="1">
      <alignment horizontal="right" vertical="center"/>
    </xf>
    <xf numFmtId="39" fontId="2" fillId="0" borderId="20" xfId="0" applyNumberFormat="1" applyFont="1" applyFill="1" applyBorder="1" applyAlignment="1" applyProtection="1">
      <alignment horizontal="center" vertical="center"/>
    </xf>
    <xf numFmtId="166" fontId="1" fillId="0" borderId="19" xfId="0" applyNumberFormat="1" applyFont="1" applyBorder="1" applyAlignment="1" applyProtection="1">
      <alignment horizontal="right" vertical="center" wrapText="1"/>
    </xf>
    <xf numFmtId="39" fontId="1" fillId="0" borderId="20" xfId="0" applyFont="1" applyBorder="1" applyAlignment="1" applyProtection="1">
      <alignment vertical="center" wrapText="1"/>
    </xf>
    <xf numFmtId="39" fontId="2" fillId="0" borderId="15" xfId="0" applyFont="1" applyBorder="1" applyAlignment="1" applyProtection="1">
      <alignment horizontal="center" vertical="center" wrapText="1"/>
    </xf>
    <xf numFmtId="39" fontId="1" fillId="0" borderId="15" xfId="0" applyFont="1" applyBorder="1" applyAlignment="1" applyProtection="1">
      <alignment vertical="center"/>
    </xf>
    <xf numFmtId="39" fontId="1" fillId="0" borderId="15" xfId="0" applyFont="1" applyBorder="1" applyAlignment="1" applyProtection="1">
      <alignment horizontal="center" vertical="center"/>
    </xf>
    <xf numFmtId="39" fontId="2" fillId="0" borderId="15" xfId="0" applyFont="1" applyFill="1" applyBorder="1" applyAlignment="1" applyProtection="1">
      <alignment vertical="center" wrapText="1"/>
    </xf>
    <xf numFmtId="39" fontId="1" fillId="3" borderId="22" xfId="0" applyFont="1" applyFill="1" applyBorder="1" applyAlignment="1" applyProtection="1">
      <alignment horizontal="center" vertical="center" wrapText="1"/>
    </xf>
    <xf numFmtId="39" fontId="1" fillId="3" borderId="23" xfId="0" applyFont="1" applyFill="1" applyBorder="1" applyAlignment="1" applyProtection="1">
      <alignment horizontal="center" vertical="center" wrapText="1"/>
    </xf>
    <xf numFmtId="39" fontId="2" fillId="0" borderId="15" xfId="0" applyNumberFormat="1" applyFont="1" applyBorder="1" applyAlignment="1" applyProtection="1">
      <alignment horizontal="right" vertical="center" wrapText="1"/>
    </xf>
    <xf numFmtId="39" fontId="2" fillId="0" borderId="16" xfId="0" applyNumberFormat="1" applyFont="1" applyBorder="1" applyAlignment="1" applyProtection="1">
      <alignment vertical="center" wrapText="1"/>
    </xf>
    <xf numFmtId="169" fontId="2" fillId="0" borderId="14" xfId="0" applyNumberFormat="1" applyFont="1" applyBorder="1" applyAlignment="1">
      <alignment horizontal="right" vertical="center" wrapText="1"/>
    </xf>
    <xf numFmtId="39" fontId="1" fillId="0" borderId="16" xfId="0" applyNumberFormat="1" applyFont="1" applyBorder="1" applyAlignment="1" applyProtection="1">
      <alignment vertical="center" wrapText="1"/>
    </xf>
    <xf numFmtId="169" fontId="2" fillId="0" borderId="14" xfId="0" applyNumberFormat="1" applyFont="1" applyFill="1" applyBorder="1" applyAlignment="1">
      <alignment horizontal="right" vertical="center" wrapText="1"/>
    </xf>
    <xf numFmtId="39" fontId="2" fillId="0" borderId="16" xfId="0" applyNumberFormat="1" applyFont="1" applyFill="1" applyBorder="1" applyAlignment="1" applyProtection="1">
      <alignment vertical="center" wrapText="1"/>
    </xf>
    <xf numFmtId="39" fontId="2" fillId="0" borderId="15" xfId="0" applyNumberFormat="1" applyFont="1" applyBorder="1" applyAlignment="1" applyProtection="1">
      <alignment horizontal="center" vertical="center" wrapText="1"/>
    </xf>
    <xf numFmtId="169" fontId="1" fillId="0" borderId="14" xfId="0" applyNumberFormat="1" applyFont="1" applyBorder="1" applyAlignment="1">
      <alignment horizontal="right" vertical="center" wrapText="1"/>
    </xf>
    <xf numFmtId="168" fontId="8" fillId="0" borderId="0" xfId="0" applyNumberFormat="1" applyFont="1" applyBorder="1" applyProtection="1"/>
    <xf numFmtId="39" fontId="4" fillId="0" borderId="0" xfId="0" applyFont="1" applyBorder="1" applyAlignment="1">
      <alignment vertical="center"/>
    </xf>
    <xf numFmtId="168" fontId="9" fillId="0" borderId="0" xfId="0" applyNumberFormat="1" applyFont="1" applyBorder="1" applyAlignment="1" applyProtection="1"/>
    <xf numFmtId="168" fontId="5" fillId="0" borderId="0" xfId="0" applyNumberFormat="1" applyFont="1" applyBorder="1" applyAlignment="1" applyProtection="1"/>
    <xf numFmtId="168" fontId="6" fillId="0" borderId="0" xfId="0" applyNumberFormat="1" applyFont="1" applyBorder="1" applyAlignment="1" applyProtection="1"/>
    <xf numFmtId="39" fontId="2" fillId="0" borderId="0" xfId="0" applyFont="1" applyAlignment="1">
      <alignment vertical="center"/>
    </xf>
    <xf numFmtId="39" fontId="2" fillId="0" borderId="0" xfId="0" applyFont="1" applyAlignment="1">
      <alignment horizontal="right" vertical="center"/>
    </xf>
    <xf numFmtId="39" fontId="2" fillId="0" borderId="0" xfId="0" applyFont="1" applyBorder="1" applyAlignment="1">
      <alignment horizontal="center" vertical="center"/>
    </xf>
    <xf numFmtId="39" fontId="2" fillId="0" borderId="0" xfId="0" applyFont="1" applyBorder="1" applyAlignment="1">
      <alignment vertical="center"/>
    </xf>
    <xf numFmtId="164" fontId="6" fillId="0" borderId="0" xfId="4" applyNumberFormat="1" applyFont="1" applyBorder="1" applyProtection="1"/>
    <xf numFmtId="39" fontId="2" fillId="0" borderId="20" xfId="0" applyFont="1" applyBorder="1" applyAlignment="1" applyProtection="1">
      <alignment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39" fontId="2" fillId="0" borderId="31" xfId="0" applyFont="1" applyFill="1" applyBorder="1" applyAlignment="1">
      <alignment horizontal="left" vertical="center" wrapText="1"/>
    </xf>
    <xf numFmtId="39" fontId="2" fillId="0" borderId="31" xfId="0" applyFont="1" applyFill="1" applyBorder="1" applyAlignment="1">
      <alignment horizontal="center" vertical="center" wrapText="1"/>
    </xf>
    <xf numFmtId="39" fontId="10" fillId="0" borderId="28" xfId="0" applyFont="1" applyFill="1" applyBorder="1" applyAlignment="1">
      <alignment vertical="center"/>
    </xf>
    <xf numFmtId="164" fontId="2" fillId="0" borderId="31" xfId="4" applyFont="1" applyFill="1" applyBorder="1" applyAlignment="1">
      <alignment horizontal="center" vertical="center" wrapText="1"/>
    </xf>
    <xf numFmtId="164" fontId="2" fillId="0" borderId="31" xfId="4" applyFont="1" applyFill="1" applyBorder="1" applyAlignment="1">
      <alignment vertical="center" wrapText="1"/>
    </xf>
    <xf numFmtId="164" fontId="10" fillId="0" borderId="32" xfId="4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left" vertical="center" wrapText="1"/>
    </xf>
    <xf numFmtId="164" fontId="2" fillId="0" borderId="25" xfId="4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164" fontId="2" fillId="0" borderId="25" xfId="4" applyFont="1" applyFill="1" applyBorder="1" applyAlignment="1">
      <alignment vertical="center" wrapText="1"/>
    </xf>
    <xf numFmtId="164" fontId="10" fillId="0" borderId="26" xfId="4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39" fontId="2" fillId="0" borderId="28" xfId="0" applyFont="1" applyFill="1" applyBorder="1" applyAlignment="1">
      <alignment horizontal="left" vertical="center" wrapText="1"/>
    </xf>
    <xf numFmtId="10" fontId="2" fillId="0" borderId="28" xfId="0" applyNumberFormat="1" applyFont="1" applyFill="1" applyBorder="1" applyAlignment="1">
      <alignment horizontal="center" vertical="center" wrapText="1"/>
    </xf>
    <xf numFmtId="164" fontId="2" fillId="0" borderId="28" xfId="4" applyFont="1" applyFill="1" applyBorder="1" applyAlignment="1">
      <alignment horizontal="center" vertical="center" wrapText="1"/>
    </xf>
    <xf numFmtId="164" fontId="2" fillId="0" borderId="28" xfId="4" applyFont="1" applyFill="1" applyBorder="1" applyAlignment="1">
      <alignment vertical="center" wrapText="1"/>
    </xf>
    <xf numFmtId="164" fontId="10" fillId="0" borderId="29" xfId="4" applyFont="1" applyFill="1" applyBorder="1" applyAlignment="1">
      <alignment vertical="center"/>
    </xf>
    <xf numFmtId="168" fontId="5" fillId="2" borderId="33" xfId="0" applyNumberFormat="1" applyFont="1" applyFill="1" applyBorder="1" applyAlignment="1" applyProtection="1">
      <alignment horizontal="right"/>
    </xf>
    <xf numFmtId="168" fontId="6" fillId="2" borderId="34" xfId="0" applyNumberFormat="1" applyFont="1" applyFill="1" applyBorder="1" applyProtection="1"/>
    <xf numFmtId="168" fontId="5" fillId="2" borderId="34" xfId="0" applyNumberFormat="1" applyFont="1" applyFill="1" applyBorder="1" applyProtection="1"/>
    <xf numFmtId="164" fontId="5" fillId="2" borderId="34" xfId="4" applyNumberFormat="1" applyFont="1" applyFill="1" applyBorder="1" applyProtection="1"/>
    <xf numFmtId="164" fontId="6" fillId="2" borderId="35" xfId="4" applyNumberFormat="1" applyFont="1" applyFill="1" applyBorder="1" applyProtection="1"/>
    <xf numFmtId="168" fontId="5" fillId="0" borderId="33" xfId="0" applyNumberFormat="1" applyFont="1" applyFill="1" applyBorder="1" applyAlignment="1" applyProtection="1">
      <alignment horizontal="right"/>
    </xf>
    <xf numFmtId="168" fontId="6" fillId="0" borderId="34" xfId="0" applyNumberFormat="1" applyFont="1" applyFill="1" applyBorder="1" applyProtection="1"/>
    <xf numFmtId="168" fontId="5" fillId="0" borderId="34" xfId="0" applyNumberFormat="1" applyFont="1" applyFill="1" applyBorder="1" applyProtection="1"/>
    <xf numFmtId="39" fontId="2" fillId="0" borderId="28" xfId="0" applyFont="1" applyBorder="1"/>
    <xf numFmtId="164" fontId="5" fillId="0" borderId="34" xfId="4" applyNumberFormat="1" applyFont="1" applyFill="1" applyBorder="1" applyProtection="1"/>
    <xf numFmtId="164" fontId="6" fillId="0" borderId="35" xfId="4" applyNumberFormat="1" applyFont="1" applyFill="1" applyBorder="1" applyProtection="1"/>
    <xf numFmtId="164" fontId="6" fillId="2" borderId="34" xfId="4" applyNumberFormat="1" applyFont="1" applyFill="1" applyBorder="1" applyProtection="1"/>
    <xf numFmtId="168" fontId="5" fillId="0" borderId="0" xfId="0" applyNumberFormat="1" applyFont="1" applyFill="1" applyBorder="1" applyAlignment="1" applyProtection="1">
      <alignment horizontal="right"/>
    </xf>
    <xf numFmtId="168" fontId="6" fillId="0" borderId="0" xfId="0" applyNumberFormat="1" applyFont="1" applyFill="1" applyBorder="1" applyProtection="1"/>
    <xf numFmtId="164" fontId="6" fillId="0" borderId="0" xfId="4" applyNumberFormat="1" applyFont="1" applyFill="1" applyBorder="1" applyProtection="1"/>
    <xf numFmtId="168" fontId="5" fillId="0" borderId="0" xfId="0" applyNumberFormat="1" applyFont="1" applyFill="1" applyBorder="1" applyProtection="1"/>
    <xf numFmtId="164" fontId="5" fillId="0" borderId="0" xfId="4" applyNumberFormat="1" applyFont="1" applyFill="1" applyBorder="1" applyProtection="1"/>
    <xf numFmtId="39" fontId="2" fillId="0" borderId="36" xfId="0" applyNumberFormat="1" applyFont="1" applyFill="1" applyBorder="1" applyAlignment="1" applyProtection="1">
      <alignment vertical="center"/>
    </xf>
    <xf numFmtId="39" fontId="2" fillId="0" borderId="36" xfId="0" applyNumberFormat="1" applyFont="1" applyFill="1" applyBorder="1" applyAlignment="1" applyProtection="1">
      <alignment horizontal="center" vertical="center" wrapText="1"/>
    </xf>
    <xf numFmtId="39" fontId="2" fillId="0" borderId="36" xfId="0" applyNumberFormat="1" applyFont="1" applyFill="1" applyBorder="1" applyAlignment="1" applyProtection="1">
      <alignment horizontal="right" vertical="center"/>
    </xf>
    <xf numFmtId="39" fontId="1" fillId="0" borderId="37" xfId="0" applyNumberFormat="1" applyFont="1" applyFill="1" applyBorder="1" applyAlignment="1" applyProtection="1">
      <alignment horizontal="right" vertical="center"/>
    </xf>
    <xf numFmtId="39" fontId="2" fillId="0" borderId="22" xfId="0" applyFont="1" applyBorder="1" applyAlignment="1" applyProtection="1">
      <alignment horizontal="center" vertical="center" wrapText="1"/>
    </xf>
    <xf numFmtId="39" fontId="2" fillId="0" borderId="22" xfId="0" applyNumberFormat="1" applyFont="1" applyBorder="1" applyAlignment="1" applyProtection="1">
      <alignment horizontal="right" vertical="center"/>
    </xf>
    <xf numFmtId="39" fontId="1" fillId="0" borderId="23" xfId="0" applyNumberFormat="1" applyFont="1" applyBorder="1" applyAlignment="1" applyProtection="1">
      <alignment vertical="center"/>
    </xf>
    <xf numFmtId="166" fontId="2" fillId="0" borderId="40" xfId="0" applyNumberFormat="1" applyFont="1" applyBorder="1" applyAlignment="1" applyProtection="1">
      <alignment horizontal="right" vertical="center" wrapText="1"/>
    </xf>
    <xf numFmtId="166" fontId="1" fillId="0" borderId="38" xfId="0" applyNumberFormat="1" applyFont="1" applyBorder="1" applyAlignment="1" applyProtection="1">
      <alignment horizontal="right" vertical="center" wrapText="1"/>
    </xf>
    <xf numFmtId="39" fontId="1" fillId="0" borderId="36" xfId="0" applyFont="1" applyBorder="1" applyAlignment="1" applyProtection="1">
      <alignment vertical="center" wrapText="1"/>
    </xf>
    <xf numFmtId="166" fontId="1" fillId="0" borderId="10" xfId="0" applyNumberFormat="1" applyFont="1" applyBorder="1" applyAlignment="1" applyProtection="1">
      <alignment horizontal="right" vertical="center" wrapText="1"/>
    </xf>
    <xf numFmtId="39" fontId="1" fillId="0" borderId="11" xfId="0" applyFont="1" applyBorder="1" applyAlignment="1" applyProtection="1">
      <alignment vertical="center" wrapText="1"/>
    </xf>
    <xf numFmtId="166" fontId="2" fillId="0" borderId="41" xfId="0" applyNumberFormat="1" applyFont="1" applyBorder="1" applyAlignment="1" applyProtection="1">
      <alignment horizontal="right" vertical="center"/>
    </xf>
    <xf numFmtId="39" fontId="2" fillId="0" borderId="22" xfId="0" applyFont="1" applyFill="1" applyBorder="1" applyAlignment="1" applyProtection="1">
      <alignment vertical="center" wrapText="1"/>
    </xf>
    <xf numFmtId="169" fontId="2" fillId="0" borderId="41" xfId="0" applyNumberFormat="1" applyFont="1" applyFill="1" applyBorder="1" applyAlignment="1">
      <alignment horizontal="right" vertical="center" wrapText="1"/>
    </xf>
    <xf numFmtId="39" fontId="2" fillId="0" borderId="22" xfId="0" applyFont="1" applyBorder="1" applyAlignment="1" applyProtection="1">
      <alignment vertical="center" wrapText="1"/>
    </xf>
    <xf numFmtId="39" fontId="2" fillId="0" borderId="22" xfId="0" applyNumberFormat="1" applyFont="1" applyBorder="1" applyAlignment="1" applyProtection="1">
      <alignment horizontal="right" vertical="center" wrapText="1"/>
    </xf>
    <xf numFmtId="39" fontId="2" fillId="0" borderId="22" xfId="0" applyNumberFormat="1" applyFont="1" applyBorder="1" applyAlignment="1" applyProtection="1">
      <alignment horizontal="center" vertical="center" wrapText="1"/>
    </xf>
    <xf numFmtId="39" fontId="1" fillId="0" borderId="23" xfId="0" applyNumberFormat="1" applyFont="1" applyBorder="1" applyAlignment="1" applyProtection="1">
      <alignment vertical="center" wrapText="1"/>
    </xf>
    <xf numFmtId="169" fontId="2" fillId="0" borderId="42" xfId="0" applyNumberFormat="1" applyFont="1" applyFill="1" applyBorder="1" applyAlignment="1">
      <alignment horizontal="right" vertical="center" wrapText="1"/>
    </xf>
    <xf numFmtId="39" fontId="2" fillId="0" borderId="43" xfId="0" applyFont="1" applyBorder="1" applyAlignment="1" applyProtection="1">
      <alignment vertical="center" wrapText="1"/>
    </xf>
    <xf numFmtId="39" fontId="2" fillId="0" borderId="43" xfId="0" applyNumberFormat="1" applyFont="1" applyBorder="1" applyAlignment="1" applyProtection="1">
      <alignment horizontal="right" vertical="center" wrapText="1"/>
    </xf>
    <xf numFmtId="39" fontId="2" fillId="0" borderId="43" xfId="0" applyNumberFormat="1" applyFont="1" applyBorder="1" applyAlignment="1" applyProtection="1">
      <alignment horizontal="center" vertical="center" wrapText="1"/>
    </xf>
    <xf numFmtId="39" fontId="2" fillId="0" borderId="39" xfId="0" applyNumberFormat="1" applyFont="1" applyFill="1" applyBorder="1" applyAlignment="1" applyProtection="1">
      <alignment horizontal="right" vertical="center"/>
    </xf>
    <xf numFmtId="39" fontId="1" fillId="0" borderId="44" xfId="0" applyNumberFormat="1" applyFont="1" applyBorder="1" applyAlignment="1" applyProtection="1">
      <alignment vertical="center" wrapText="1"/>
    </xf>
    <xf numFmtId="166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17" fontId="3" fillId="0" borderId="0" xfId="0" applyNumberFormat="1" applyFont="1" applyAlignment="1" applyProtection="1">
      <alignment horizontal="center" vertical="center" wrapText="1"/>
    </xf>
  </cellXfs>
  <cellStyles count="5">
    <cellStyle name="Millares" xfId="4" builtinId="3"/>
    <cellStyle name="Millares 10" xfId="1"/>
    <cellStyle name="Millares 2 3" xfId="3"/>
    <cellStyle name="Normal" xfId="0" builtinId="0"/>
    <cellStyle name="Porcentu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/>
  <dimension ref="A1:I209"/>
  <sheetViews>
    <sheetView showGridLines="0" showZeros="0" tabSelected="1" view="pageBreakPreview" zoomScale="70" zoomScaleSheetLayoutView="70" zoomScalePageLayoutView="80" workbookViewId="0">
      <selection activeCell="A7" sqref="A7:G7"/>
    </sheetView>
  </sheetViews>
  <sheetFormatPr baseColWidth="10" defaultColWidth="9.625" defaultRowHeight="18" x14ac:dyDescent="0.15"/>
  <cols>
    <col min="1" max="1" width="9.75" style="7" customWidth="1"/>
    <col min="2" max="2" width="57.125" style="6" customWidth="1"/>
    <col min="3" max="3" width="13.625" style="6" bestFit="1" customWidth="1"/>
    <col min="4" max="4" width="8" style="6" customWidth="1"/>
    <col min="5" max="5" width="14.375" style="6" customWidth="1"/>
    <col min="6" max="6" width="17.875" style="6" customWidth="1"/>
    <col min="7" max="7" width="20.5" style="6" bestFit="1" customWidth="1"/>
    <col min="8" max="8" width="16.25" style="6" bestFit="1" customWidth="1"/>
    <col min="9" max="9" width="16.375" style="6" bestFit="1" customWidth="1"/>
    <col min="10" max="10" width="17.75" style="6" customWidth="1"/>
    <col min="11" max="11" width="12.875" style="6" bestFit="1" customWidth="1"/>
    <col min="12" max="16384" width="9.625" style="6"/>
  </cols>
  <sheetData>
    <row r="1" spans="1:9" s="4" customFormat="1" ht="20.25" customHeight="1" x14ac:dyDescent="0.15">
      <c r="A1" s="159" t="s">
        <v>0</v>
      </c>
      <c r="B1" s="159"/>
      <c r="C1" s="159"/>
      <c r="D1" s="159"/>
      <c r="E1" s="159"/>
      <c r="F1" s="159"/>
      <c r="G1" s="159"/>
      <c r="H1" s="40"/>
      <c r="I1" s="40"/>
    </row>
    <row r="2" spans="1:9" s="4" customFormat="1" x14ac:dyDescent="0.15">
      <c r="A2" s="159" t="s">
        <v>18</v>
      </c>
      <c r="B2" s="159"/>
      <c r="C2" s="159"/>
      <c r="D2" s="159"/>
      <c r="E2" s="159"/>
      <c r="F2" s="159"/>
      <c r="G2" s="159"/>
    </row>
    <row r="3" spans="1:9" s="4" customFormat="1" x14ac:dyDescent="0.15">
      <c r="A3" s="159"/>
      <c r="B3" s="159"/>
      <c r="C3" s="159"/>
      <c r="D3" s="159"/>
      <c r="E3" s="159"/>
      <c r="F3" s="159"/>
      <c r="G3" s="159"/>
    </row>
    <row r="4" spans="1:9" s="4" customFormat="1" ht="10.5" customHeight="1" x14ac:dyDescent="0.15">
      <c r="A4" s="41"/>
      <c r="B4" s="41"/>
      <c r="C4" s="41"/>
      <c r="D4" s="41"/>
      <c r="E4" s="41"/>
      <c r="F4" s="41"/>
      <c r="G4" s="60"/>
    </row>
    <row r="5" spans="1:9" s="4" customFormat="1" x14ac:dyDescent="0.15">
      <c r="A5" s="42" t="s">
        <v>243</v>
      </c>
      <c r="C5" s="41"/>
      <c r="D5" s="41"/>
      <c r="E5" s="41"/>
      <c r="F5" s="41"/>
      <c r="G5" s="60"/>
    </row>
    <row r="6" spans="1:9" s="4" customFormat="1" ht="11.25" customHeight="1" x14ac:dyDescent="0.15">
      <c r="A6" s="160"/>
      <c r="B6" s="160"/>
      <c r="C6" s="160"/>
      <c r="D6" s="160"/>
      <c r="E6" s="160"/>
      <c r="F6" s="160"/>
      <c r="G6" s="160"/>
    </row>
    <row r="7" spans="1:9" s="43" customFormat="1" ht="36" customHeight="1" x14ac:dyDescent="0.15">
      <c r="A7" s="161" t="s">
        <v>242</v>
      </c>
      <c r="B7" s="161"/>
      <c r="C7" s="161"/>
      <c r="D7" s="161"/>
      <c r="E7" s="161"/>
      <c r="F7" s="161"/>
      <c r="G7" s="161"/>
    </row>
    <row r="8" spans="1:9" s="44" customFormat="1" x14ac:dyDescent="0.15">
      <c r="A8" s="162"/>
      <c r="B8" s="162"/>
      <c r="C8" s="162"/>
      <c r="D8" s="162"/>
      <c r="E8" s="162"/>
      <c r="F8" s="162"/>
      <c r="G8" s="162"/>
    </row>
    <row r="9" spans="1:9" s="1" customFormat="1" ht="18.75" thickBot="1" x14ac:dyDescent="0.2">
      <c r="A9" s="158"/>
      <c r="B9" s="158"/>
      <c r="C9" s="158"/>
      <c r="D9" s="158"/>
      <c r="E9" s="158"/>
      <c r="F9" s="158"/>
      <c r="G9" s="158"/>
    </row>
    <row r="10" spans="1:9" ht="24.75" customHeight="1" thickTop="1" thickBot="1" x14ac:dyDescent="0.2">
      <c r="A10" s="155" t="s">
        <v>19</v>
      </c>
      <c r="B10" s="156" t="s">
        <v>20</v>
      </c>
      <c r="C10" s="156" t="s">
        <v>2</v>
      </c>
      <c r="D10" s="156" t="s">
        <v>3</v>
      </c>
      <c r="E10" s="156" t="s">
        <v>1</v>
      </c>
      <c r="F10" s="156" t="s">
        <v>21</v>
      </c>
      <c r="G10" s="157" t="s">
        <v>22</v>
      </c>
    </row>
    <row r="11" spans="1:9" ht="17.25" customHeight="1" thickTop="1" x14ac:dyDescent="0.15">
      <c r="A11" s="28"/>
      <c r="B11" s="29"/>
      <c r="C11" s="17"/>
      <c r="D11" s="30"/>
      <c r="E11" s="18"/>
      <c r="F11" s="18">
        <f>+E11*C11</f>
        <v>0</v>
      </c>
      <c r="G11" s="19"/>
    </row>
    <row r="12" spans="1:9" ht="36" customHeight="1" x14ac:dyDescent="0.15">
      <c r="A12" s="26">
        <v>1</v>
      </c>
      <c r="B12" s="27" t="s">
        <v>100</v>
      </c>
      <c r="C12" s="62"/>
      <c r="D12" s="66"/>
      <c r="E12" s="64"/>
      <c r="F12" s="64"/>
      <c r="G12" s="65"/>
    </row>
    <row r="13" spans="1:9" ht="20.25" customHeight="1" x14ac:dyDescent="0.15">
      <c r="A13" s="31">
        <f>+A12+0.1</f>
        <v>1.1000000000000001</v>
      </c>
      <c r="B13" s="27" t="s">
        <v>5</v>
      </c>
      <c r="C13" s="21"/>
      <c r="D13" s="22"/>
      <c r="E13" s="23"/>
      <c r="F13" s="23">
        <f t="shared" ref="F13:F56" si="0">+C13*E13</f>
        <v>0</v>
      </c>
      <c r="G13" s="24"/>
    </row>
    <row r="14" spans="1:9" ht="20.25" customHeight="1" x14ac:dyDescent="0.15">
      <c r="A14" s="25" t="s">
        <v>36</v>
      </c>
      <c r="B14" s="20" t="s">
        <v>39</v>
      </c>
      <c r="C14" s="21">
        <v>1</v>
      </c>
      <c r="D14" s="22" t="s">
        <v>8</v>
      </c>
      <c r="E14" s="23"/>
      <c r="F14" s="23">
        <f t="shared" si="0"/>
        <v>0</v>
      </c>
      <c r="G14" s="24"/>
    </row>
    <row r="15" spans="1:9" ht="20.25" customHeight="1" x14ac:dyDescent="0.15">
      <c r="A15" s="31">
        <f>+A13+0.1</f>
        <v>1.2</v>
      </c>
      <c r="B15" s="27" t="s">
        <v>40</v>
      </c>
      <c r="C15" s="21"/>
      <c r="D15" s="22"/>
      <c r="E15" s="23"/>
      <c r="F15" s="23">
        <f t="shared" si="0"/>
        <v>0</v>
      </c>
      <c r="G15" s="24"/>
    </row>
    <row r="16" spans="1:9" ht="20.25" customHeight="1" x14ac:dyDescent="0.15">
      <c r="A16" s="25" t="s">
        <v>42</v>
      </c>
      <c r="B16" s="20" t="s">
        <v>89</v>
      </c>
      <c r="C16" s="21">
        <f>+(18*28.33*2)*2</f>
        <v>2039.76</v>
      </c>
      <c r="D16" s="22" t="s">
        <v>7</v>
      </c>
      <c r="E16" s="23"/>
      <c r="F16" s="23">
        <f t="shared" si="0"/>
        <v>0</v>
      </c>
      <c r="G16" s="24"/>
    </row>
    <row r="17" spans="1:7" ht="20.25" customHeight="1" x14ac:dyDescent="0.15">
      <c r="A17" s="25" t="s">
        <v>43</v>
      </c>
      <c r="B17" s="20" t="s">
        <v>90</v>
      </c>
      <c r="C17" s="21">
        <f>+((18*28.33*2)*2)-((15.6*26.13*2)*2)</f>
        <v>409.25</v>
      </c>
      <c r="D17" s="22" t="s">
        <v>7</v>
      </c>
      <c r="E17" s="23"/>
      <c r="F17" s="23">
        <f t="shared" si="0"/>
        <v>0</v>
      </c>
      <c r="G17" s="24"/>
    </row>
    <row r="18" spans="1:7" ht="20.25" customHeight="1" x14ac:dyDescent="0.15">
      <c r="A18" s="25" t="s">
        <v>44</v>
      </c>
      <c r="B18" s="20" t="s">
        <v>41</v>
      </c>
      <c r="C18" s="21">
        <f>+C17*1.3</f>
        <v>532.03</v>
      </c>
      <c r="D18" s="22" t="s">
        <v>7</v>
      </c>
      <c r="E18" s="23"/>
      <c r="F18" s="23">
        <f t="shared" si="0"/>
        <v>0</v>
      </c>
      <c r="G18" s="24"/>
    </row>
    <row r="19" spans="1:7" ht="20.25" customHeight="1" x14ac:dyDescent="0.15">
      <c r="A19" s="31">
        <f>+A15+0.1</f>
        <v>1.3</v>
      </c>
      <c r="B19" s="27" t="s">
        <v>35</v>
      </c>
      <c r="C19" s="21"/>
      <c r="D19" s="22"/>
      <c r="E19" s="23"/>
      <c r="F19" s="23">
        <f t="shared" si="0"/>
        <v>0</v>
      </c>
      <c r="G19" s="24"/>
    </row>
    <row r="20" spans="1:7" ht="37.5" customHeight="1" x14ac:dyDescent="0.15">
      <c r="A20" s="25" t="s">
        <v>45</v>
      </c>
      <c r="B20" s="20" t="s">
        <v>230</v>
      </c>
      <c r="C20" s="21">
        <f>+(18*28.33*0.1)*2</f>
        <v>101.99</v>
      </c>
      <c r="D20" s="22" t="s">
        <v>7</v>
      </c>
      <c r="E20" s="23"/>
      <c r="F20" s="23">
        <f t="shared" si="0"/>
        <v>0</v>
      </c>
      <c r="G20" s="24"/>
    </row>
    <row r="21" spans="1:7" ht="20.25" customHeight="1" x14ac:dyDescent="0.15">
      <c r="A21" s="25" t="s">
        <v>51</v>
      </c>
      <c r="B21" s="20" t="s">
        <v>46</v>
      </c>
      <c r="C21" s="21">
        <f>+(((25.53+1.6)*0.8*0.5)*2+((15+1.6)*0.8*0.5)*2+(15*25.53*0.3))*2</f>
        <v>299.74</v>
      </c>
      <c r="D21" s="22" t="s">
        <v>7</v>
      </c>
      <c r="E21" s="23"/>
      <c r="F21" s="23">
        <f t="shared" si="0"/>
        <v>0</v>
      </c>
      <c r="G21" s="24"/>
    </row>
    <row r="22" spans="1:7" ht="20.25" customHeight="1" x14ac:dyDescent="0.15">
      <c r="A22" s="25" t="s">
        <v>52</v>
      </c>
      <c r="B22" s="20" t="s">
        <v>47</v>
      </c>
      <c r="C22" s="21">
        <f>+((26.13*5.15*0.3*2)+(15*5.15*0.3*2))*2</f>
        <v>254.18</v>
      </c>
      <c r="D22" s="22" t="s">
        <v>7</v>
      </c>
      <c r="E22" s="23"/>
      <c r="F22" s="23">
        <f t="shared" si="0"/>
        <v>0</v>
      </c>
      <c r="G22" s="24"/>
    </row>
    <row r="23" spans="1:7" ht="20.25" customHeight="1" x14ac:dyDescent="0.15">
      <c r="A23" s="25" t="s">
        <v>53</v>
      </c>
      <c r="B23" s="20" t="s">
        <v>48</v>
      </c>
      <c r="C23" s="21">
        <f>+((0.65+0.3+0.35+0.16+0.6)*(25.53+0.6)*0.3)*2</f>
        <v>32.299999999999997</v>
      </c>
      <c r="D23" s="22" t="s">
        <v>7</v>
      </c>
      <c r="E23" s="23"/>
      <c r="F23" s="23">
        <f t="shared" si="0"/>
        <v>0</v>
      </c>
      <c r="G23" s="24"/>
    </row>
    <row r="24" spans="1:7" ht="20.25" customHeight="1" x14ac:dyDescent="0.15">
      <c r="A24" s="25" t="s">
        <v>54</v>
      </c>
      <c r="B24" s="20" t="s">
        <v>92</v>
      </c>
      <c r="C24" s="21">
        <f>+((0.2*0.25*0.5)*78)*2</f>
        <v>3.9</v>
      </c>
      <c r="D24" s="22" t="s">
        <v>7</v>
      </c>
      <c r="E24" s="23"/>
      <c r="F24" s="23">
        <f t="shared" si="0"/>
        <v>0</v>
      </c>
      <c r="G24" s="24"/>
    </row>
    <row r="25" spans="1:7" ht="20.25" customHeight="1" x14ac:dyDescent="0.15">
      <c r="A25" s="25" t="s">
        <v>55</v>
      </c>
      <c r="B25" s="20" t="s">
        <v>49</v>
      </c>
      <c r="C25" s="21">
        <f>+((4.85*0.3*0.3)*48)*2</f>
        <v>41.9</v>
      </c>
      <c r="D25" s="22" t="s">
        <v>7</v>
      </c>
      <c r="E25" s="23"/>
      <c r="F25" s="23">
        <f t="shared" si="0"/>
        <v>0</v>
      </c>
      <c r="G25" s="24"/>
    </row>
    <row r="26" spans="1:7" ht="20.25" customHeight="1" x14ac:dyDescent="0.15">
      <c r="A26" s="25" t="s">
        <v>56</v>
      </c>
      <c r="B26" s="20" t="s">
        <v>93</v>
      </c>
      <c r="C26" s="21">
        <f>+(0.4*0.3*15*12)*2</f>
        <v>43.2</v>
      </c>
      <c r="D26" s="22" t="s">
        <v>7</v>
      </c>
      <c r="E26" s="23"/>
      <c r="F26" s="23">
        <f t="shared" si="0"/>
        <v>0</v>
      </c>
      <c r="G26" s="24"/>
    </row>
    <row r="27" spans="1:7" ht="20.25" customHeight="1" x14ac:dyDescent="0.15">
      <c r="A27" s="25" t="s">
        <v>57</v>
      </c>
      <c r="B27" s="20" t="s">
        <v>50</v>
      </c>
      <c r="C27" s="21">
        <f>+(15*(0.3+0.6+0.72+2+0.72+1.6)*0.15*11)*2</f>
        <v>294.02999999999997</v>
      </c>
      <c r="D27" s="22" t="s">
        <v>7</v>
      </c>
      <c r="E27" s="23"/>
      <c r="F27" s="23">
        <f t="shared" si="0"/>
        <v>0</v>
      </c>
      <c r="G27" s="24"/>
    </row>
    <row r="28" spans="1:7" ht="40.5" customHeight="1" x14ac:dyDescent="0.15">
      <c r="A28" s="31">
        <f>+A19+0.1</f>
        <v>1.4</v>
      </c>
      <c r="B28" s="27" t="s">
        <v>94</v>
      </c>
      <c r="C28" s="21">
        <f>11*2</f>
        <v>22</v>
      </c>
      <c r="D28" s="22" t="s">
        <v>3</v>
      </c>
      <c r="E28" s="23"/>
      <c r="F28" s="23">
        <f t="shared" si="0"/>
        <v>0</v>
      </c>
      <c r="G28" s="24"/>
    </row>
    <row r="29" spans="1:7" ht="19.5" customHeight="1" x14ac:dyDescent="0.15">
      <c r="A29" s="31">
        <f>+A28+0.1</f>
        <v>1.5</v>
      </c>
      <c r="B29" s="27" t="s">
        <v>9</v>
      </c>
      <c r="C29" s="21"/>
      <c r="D29" s="22"/>
      <c r="E29" s="23"/>
      <c r="F29" s="23">
        <f t="shared" si="0"/>
        <v>0</v>
      </c>
      <c r="G29" s="24"/>
    </row>
    <row r="30" spans="1:7" ht="19.5" customHeight="1" x14ac:dyDescent="0.15">
      <c r="A30" s="25" t="s">
        <v>58</v>
      </c>
      <c r="B30" s="20" t="s">
        <v>103</v>
      </c>
      <c r="C30" s="21">
        <f>+((26.13*5.15*2)+(15*5.15*2)+(26.13*2.06))*2</f>
        <v>954.93</v>
      </c>
      <c r="D30" s="22" t="s">
        <v>14</v>
      </c>
      <c r="E30" s="23"/>
      <c r="F30" s="23">
        <f t="shared" ref="F30" si="1">+C30*E30</f>
        <v>0</v>
      </c>
      <c r="G30" s="24"/>
    </row>
    <row r="31" spans="1:7" ht="19.5" customHeight="1" x14ac:dyDescent="0.15">
      <c r="A31" s="25" t="s">
        <v>61</v>
      </c>
      <c r="B31" s="20" t="s">
        <v>59</v>
      </c>
      <c r="C31" s="21">
        <f>+((26.13*5.15*2)+(15*5.15*2)+(26.13*2.06))*2</f>
        <v>954.93</v>
      </c>
      <c r="D31" s="22" t="s">
        <v>14</v>
      </c>
      <c r="E31" s="23"/>
      <c r="F31" s="23">
        <f t="shared" si="0"/>
        <v>0</v>
      </c>
      <c r="G31" s="24"/>
    </row>
    <row r="32" spans="1:7" ht="19.5" customHeight="1" x14ac:dyDescent="0.15">
      <c r="A32" s="25" t="s">
        <v>104</v>
      </c>
      <c r="B32" s="20" t="s">
        <v>60</v>
      </c>
      <c r="C32" s="21">
        <f>+(25.53*15)*2</f>
        <v>765.9</v>
      </c>
      <c r="D32" s="22" t="s">
        <v>14</v>
      </c>
      <c r="E32" s="23"/>
      <c r="F32" s="23">
        <f t="shared" si="0"/>
        <v>0</v>
      </c>
      <c r="G32" s="24"/>
    </row>
    <row r="33" spans="1:7" ht="19.5" customHeight="1" x14ac:dyDescent="0.15">
      <c r="A33" s="25" t="s">
        <v>108</v>
      </c>
      <c r="B33" s="20" t="s">
        <v>107</v>
      </c>
      <c r="C33" s="21">
        <f>+((26.13*3)+(15*2))*2*3</f>
        <v>650.34</v>
      </c>
      <c r="D33" s="22" t="s">
        <v>6</v>
      </c>
      <c r="E33" s="23"/>
      <c r="F33" s="23">
        <f t="shared" si="0"/>
        <v>0</v>
      </c>
      <c r="G33" s="24"/>
    </row>
    <row r="34" spans="1:7" ht="17.25" customHeight="1" x14ac:dyDescent="0.15">
      <c r="A34" s="31">
        <f>+A29+0.1</f>
        <v>1.6</v>
      </c>
      <c r="B34" s="27" t="s">
        <v>95</v>
      </c>
      <c r="C34" s="21"/>
      <c r="D34" s="22"/>
      <c r="E34" s="23"/>
      <c r="F34" s="23">
        <f t="shared" si="0"/>
        <v>0</v>
      </c>
      <c r="G34" s="24"/>
    </row>
    <row r="35" spans="1:7" ht="17.25" customHeight="1" x14ac:dyDescent="0.15">
      <c r="A35" s="31" t="s">
        <v>62</v>
      </c>
      <c r="B35" s="27" t="s">
        <v>96</v>
      </c>
      <c r="C35" s="21"/>
      <c r="D35" s="22"/>
      <c r="E35" s="23"/>
      <c r="F35" s="23">
        <f t="shared" si="0"/>
        <v>0</v>
      </c>
      <c r="G35" s="24"/>
    </row>
    <row r="36" spans="1:7" ht="36.75" customHeight="1" x14ac:dyDescent="0.15">
      <c r="A36" s="25" t="s">
        <v>63</v>
      </c>
      <c r="B36" s="20" t="s">
        <v>231</v>
      </c>
      <c r="C36" s="21">
        <f>(32+25+20)*2</f>
        <v>154</v>
      </c>
      <c r="D36" s="22" t="s">
        <v>6</v>
      </c>
      <c r="E36" s="23"/>
      <c r="F36" s="23">
        <f t="shared" ref="F36" si="2">+C36*E36</f>
        <v>0</v>
      </c>
      <c r="G36" s="39"/>
    </row>
    <row r="37" spans="1:7" ht="17.25" customHeight="1" x14ac:dyDescent="0.15">
      <c r="A37" s="25" t="s">
        <v>232</v>
      </c>
      <c r="B37" s="20" t="s">
        <v>67</v>
      </c>
      <c r="C37" s="21">
        <f>(32+25+20)*2</f>
        <v>154</v>
      </c>
      <c r="D37" s="22" t="s">
        <v>6</v>
      </c>
      <c r="E37" s="23"/>
      <c r="F37" s="23">
        <f t="shared" si="0"/>
        <v>0</v>
      </c>
      <c r="G37" s="39"/>
    </row>
    <row r="38" spans="1:7" ht="35.25" customHeight="1" x14ac:dyDescent="0.15">
      <c r="A38" s="25" t="s">
        <v>233</v>
      </c>
      <c r="B38" s="20" t="s">
        <v>228</v>
      </c>
      <c r="C38" s="21">
        <f>215*2</f>
        <v>430</v>
      </c>
      <c r="D38" s="22" t="s">
        <v>6</v>
      </c>
      <c r="E38" s="23"/>
      <c r="F38" s="23">
        <f t="shared" si="0"/>
        <v>0</v>
      </c>
      <c r="G38" s="39"/>
    </row>
    <row r="39" spans="1:7" ht="20.25" customHeight="1" x14ac:dyDescent="0.15">
      <c r="A39" s="31" t="s">
        <v>65</v>
      </c>
      <c r="B39" s="27" t="s">
        <v>64</v>
      </c>
      <c r="C39" s="21"/>
      <c r="D39" s="22"/>
      <c r="E39" s="23"/>
      <c r="F39" s="23">
        <f t="shared" si="0"/>
        <v>0</v>
      </c>
      <c r="G39" s="24"/>
    </row>
    <row r="40" spans="1:7" ht="20.25" customHeight="1" x14ac:dyDescent="0.15">
      <c r="A40" s="61" t="s">
        <v>66</v>
      </c>
      <c r="B40" s="20" t="s">
        <v>126</v>
      </c>
      <c r="C40" s="21">
        <f>3*2</f>
        <v>6</v>
      </c>
      <c r="D40" s="22" t="s">
        <v>3</v>
      </c>
      <c r="E40" s="23"/>
      <c r="F40" s="23">
        <f t="shared" si="0"/>
        <v>0</v>
      </c>
      <c r="G40" s="24"/>
    </row>
    <row r="41" spans="1:7" ht="20.25" customHeight="1" x14ac:dyDescent="0.15">
      <c r="A41" s="61" t="s">
        <v>66</v>
      </c>
      <c r="B41" s="20" t="s">
        <v>130</v>
      </c>
      <c r="C41" s="21">
        <f>13*2</f>
        <v>26</v>
      </c>
      <c r="D41" s="22" t="s">
        <v>3</v>
      </c>
      <c r="E41" s="23"/>
      <c r="F41" s="23">
        <f t="shared" si="0"/>
        <v>0</v>
      </c>
      <c r="G41" s="24"/>
    </row>
    <row r="42" spans="1:7" ht="20.25" customHeight="1" x14ac:dyDescent="0.15">
      <c r="A42" s="31" t="s">
        <v>70</v>
      </c>
      <c r="B42" s="27" t="s">
        <v>68</v>
      </c>
      <c r="C42" s="21"/>
      <c r="D42" s="22"/>
      <c r="E42" s="23"/>
      <c r="F42" s="23">
        <f t="shared" si="0"/>
        <v>0</v>
      </c>
      <c r="G42" s="24"/>
    </row>
    <row r="43" spans="1:7" ht="20.25" customHeight="1" x14ac:dyDescent="0.15">
      <c r="A43" s="61" t="s">
        <v>71</v>
      </c>
      <c r="B43" s="20" t="s">
        <v>131</v>
      </c>
      <c r="C43" s="21">
        <f>1*2</f>
        <v>2</v>
      </c>
      <c r="D43" s="22" t="s">
        <v>3</v>
      </c>
      <c r="E43" s="23"/>
      <c r="F43" s="23">
        <f t="shared" si="0"/>
        <v>0</v>
      </c>
      <c r="G43" s="24"/>
    </row>
    <row r="44" spans="1:7" ht="20.25" customHeight="1" x14ac:dyDescent="0.15">
      <c r="A44" s="31" t="s">
        <v>72</v>
      </c>
      <c r="B44" s="27" t="s">
        <v>69</v>
      </c>
      <c r="C44" s="21"/>
      <c r="D44" s="22"/>
      <c r="E44" s="23"/>
      <c r="F44" s="23">
        <f t="shared" si="0"/>
        <v>0</v>
      </c>
      <c r="G44" s="24"/>
    </row>
    <row r="45" spans="1:7" ht="20.25" customHeight="1" x14ac:dyDescent="0.15">
      <c r="A45" s="61" t="s">
        <v>73</v>
      </c>
      <c r="B45" s="20" t="s">
        <v>123</v>
      </c>
      <c r="C45" s="21">
        <f>11*2</f>
        <v>22</v>
      </c>
      <c r="D45" s="22" t="s">
        <v>3</v>
      </c>
      <c r="E45" s="23"/>
      <c r="F45" s="23">
        <f t="shared" si="0"/>
        <v>0</v>
      </c>
      <c r="G45" s="24"/>
    </row>
    <row r="46" spans="1:7" ht="20.25" customHeight="1" x14ac:dyDescent="0.15">
      <c r="A46" s="61" t="s">
        <v>74</v>
      </c>
      <c r="B46" s="20" t="s">
        <v>124</v>
      </c>
      <c r="C46" s="21">
        <f>6*2</f>
        <v>12</v>
      </c>
      <c r="D46" s="22" t="s">
        <v>3</v>
      </c>
      <c r="E46" s="23"/>
      <c r="F46" s="23">
        <f t="shared" si="0"/>
        <v>0</v>
      </c>
      <c r="G46" s="24"/>
    </row>
    <row r="47" spans="1:7" ht="20.25" customHeight="1" thickBot="1" x14ac:dyDescent="0.2">
      <c r="A47" s="38"/>
      <c r="B47" s="33"/>
      <c r="C47" s="34"/>
      <c r="D47" s="35"/>
      <c r="E47" s="36"/>
      <c r="F47" s="36"/>
      <c r="G47" s="37"/>
    </row>
    <row r="48" spans="1:7" ht="20.25" customHeight="1" thickTop="1" x14ac:dyDescent="0.15">
      <c r="A48" s="61"/>
      <c r="B48" s="93"/>
      <c r="C48" s="62"/>
      <c r="D48" s="63"/>
      <c r="E48" s="64"/>
      <c r="F48" s="64"/>
      <c r="G48" s="65"/>
    </row>
    <row r="49" spans="1:7" ht="20.25" customHeight="1" x14ac:dyDescent="0.15">
      <c r="A49" s="31" t="s">
        <v>75</v>
      </c>
      <c r="B49" s="27" t="s">
        <v>97</v>
      </c>
      <c r="C49" s="21"/>
      <c r="D49" s="22"/>
      <c r="E49" s="23"/>
      <c r="F49" s="23">
        <f t="shared" si="0"/>
        <v>0</v>
      </c>
      <c r="G49" s="24"/>
    </row>
    <row r="50" spans="1:7" ht="20.25" customHeight="1" x14ac:dyDescent="0.15">
      <c r="A50" s="137" t="s">
        <v>76</v>
      </c>
      <c r="B50" s="53" t="s">
        <v>132</v>
      </c>
      <c r="C50" s="54">
        <f>13*2</f>
        <v>26</v>
      </c>
      <c r="D50" s="55" t="s">
        <v>3</v>
      </c>
      <c r="E50" s="56"/>
      <c r="F50" s="56">
        <f t="shared" si="0"/>
        <v>0</v>
      </c>
      <c r="G50" s="57"/>
    </row>
    <row r="51" spans="1:7" ht="17.25" customHeight="1" x14ac:dyDescent="0.15">
      <c r="A51" s="67" t="s">
        <v>77</v>
      </c>
      <c r="B51" s="68" t="s">
        <v>98</v>
      </c>
      <c r="C51" s="62"/>
      <c r="D51" s="63"/>
      <c r="E51" s="64"/>
      <c r="F51" s="64">
        <f t="shared" si="0"/>
        <v>0</v>
      </c>
      <c r="G51" s="65"/>
    </row>
    <row r="52" spans="1:7" ht="17.25" customHeight="1" x14ac:dyDescent="0.15">
      <c r="A52" s="61" t="s">
        <v>80</v>
      </c>
      <c r="B52" s="20" t="s">
        <v>128</v>
      </c>
      <c r="C52" s="21">
        <f>1*2</f>
        <v>2</v>
      </c>
      <c r="D52" s="22" t="s">
        <v>3</v>
      </c>
      <c r="E52" s="23"/>
      <c r="F52" s="23">
        <f t="shared" si="0"/>
        <v>0</v>
      </c>
      <c r="G52" s="24"/>
    </row>
    <row r="53" spans="1:7" ht="17.25" customHeight="1" x14ac:dyDescent="0.15">
      <c r="A53" s="61" t="s">
        <v>80</v>
      </c>
      <c r="B53" s="20" t="s">
        <v>129</v>
      </c>
      <c r="C53" s="21">
        <f>1*2</f>
        <v>2</v>
      </c>
      <c r="D53" s="22" t="s">
        <v>3</v>
      </c>
      <c r="E53" s="23"/>
      <c r="F53" s="23">
        <f t="shared" si="0"/>
        <v>0</v>
      </c>
      <c r="G53" s="24"/>
    </row>
    <row r="54" spans="1:7" ht="17.25" customHeight="1" x14ac:dyDescent="0.15">
      <c r="A54" s="31" t="s">
        <v>81</v>
      </c>
      <c r="B54" s="27" t="s">
        <v>78</v>
      </c>
      <c r="C54" s="21">
        <f>1*2</f>
        <v>2</v>
      </c>
      <c r="D54" s="22" t="s">
        <v>79</v>
      </c>
      <c r="E54" s="23"/>
      <c r="F54" s="23">
        <f t="shared" si="0"/>
        <v>0</v>
      </c>
      <c r="G54" s="24"/>
    </row>
    <row r="55" spans="1:7" ht="35.25" customHeight="1" x14ac:dyDescent="0.15">
      <c r="A55" s="31">
        <f>+A34+0.1</f>
        <v>1.7</v>
      </c>
      <c r="B55" s="27" t="s">
        <v>241</v>
      </c>
      <c r="C55" s="21">
        <f>1*2</f>
        <v>2</v>
      </c>
      <c r="D55" s="22" t="s">
        <v>3</v>
      </c>
      <c r="E55" s="23"/>
      <c r="F55" s="23">
        <f t="shared" si="0"/>
        <v>0</v>
      </c>
      <c r="G55" s="24"/>
    </row>
    <row r="56" spans="1:7" ht="42" customHeight="1" x14ac:dyDescent="0.15">
      <c r="A56" s="31">
        <f>+A55+0.1</f>
        <v>1.8</v>
      </c>
      <c r="B56" s="27" t="s">
        <v>99</v>
      </c>
      <c r="C56" s="21">
        <v>1</v>
      </c>
      <c r="D56" s="22" t="s">
        <v>3</v>
      </c>
      <c r="E56" s="23"/>
      <c r="F56" s="23">
        <f t="shared" si="0"/>
        <v>0</v>
      </c>
      <c r="G56" s="24"/>
    </row>
    <row r="57" spans="1:7" ht="22.5" customHeight="1" x14ac:dyDescent="0.15">
      <c r="A57" s="31">
        <f>+A56+0.1</f>
        <v>1.9</v>
      </c>
      <c r="B57" s="27" t="s">
        <v>146</v>
      </c>
      <c r="C57" s="21">
        <v>1</v>
      </c>
      <c r="D57" s="22" t="s">
        <v>8</v>
      </c>
      <c r="E57" s="23"/>
      <c r="F57" s="23">
        <f t="shared" ref="F57" si="3">+C57*E57</f>
        <v>0</v>
      </c>
      <c r="G57" s="24">
        <f>SUM(F14:F57)</f>
        <v>0</v>
      </c>
    </row>
    <row r="58" spans="1:7" ht="22.5" customHeight="1" x14ac:dyDescent="0.15">
      <c r="A58" s="67"/>
      <c r="B58" s="68"/>
      <c r="C58" s="62"/>
      <c r="D58" s="63"/>
      <c r="E58" s="23"/>
      <c r="F58" s="64"/>
      <c r="G58" s="65"/>
    </row>
    <row r="59" spans="1:7" ht="21.75" customHeight="1" x14ac:dyDescent="0.15">
      <c r="A59" s="26">
        <v>2</v>
      </c>
      <c r="B59" s="27" t="s">
        <v>10</v>
      </c>
      <c r="C59" s="21">
        <v>0</v>
      </c>
      <c r="D59" s="22"/>
      <c r="E59" s="23"/>
      <c r="F59" s="23">
        <f t="shared" ref="F59:F80" si="4">+C59*E59</f>
        <v>0</v>
      </c>
      <c r="G59" s="24"/>
    </row>
    <row r="60" spans="1:7" ht="21.75" customHeight="1" x14ac:dyDescent="0.15">
      <c r="A60" s="31">
        <f>+A59+0.1</f>
        <v>2.1</v>
      </c>
      <c r="B60" s="27" t="s">
        <v>5</v>
      </c>
      <c r="C60" s="21"/>
      <c r="D60" s="22"/>
      <c r="E60" s="23"/>
      <c r="F60" s="23">
        <f t="shared" si="4"/>
        <v>0</v>
      </c>
      <c r="G60" s="24"/>
    </row>
    <row r="61" spans="1:7" ht="21.75" customHeight="1" x14ac:dyDescent="0.15">
      <c r="A61" s="25" t="s">
        <v>37</v>
      </c>
      <c r="B61" s="20" t="s">
        <v>39</v>
      </c>
      <c r="C61" s="21">
        <v>1</v>
      </c>
      <c r="D61" s="22" t="s">
        <v>8</v>
      </c>
      <c r="E61" s="23"/>
      <c r="F61" s="23">
        <f t="shared" si="4"/>
        <v>0</v>
      </c>
      <c r="G61" s="24"/>
    </row>
    <row r="62" spans="1:7" ht="21.75" customHeight="1" x14ac:dyDescent="0.15">
      <c r="A62" s="31">
        <f>+A60+0.1</f>
        <v>2.2000000000000002</v>
      </c>
      <c r="B62" s="27" t="s">
        <v>40</v>
      </c>
      <c r="C62" s="21"/>
      <c r="D62" s="22"/>
      <c r="E62" s="23"/>
      <c r="F62" s="23">
        <f t="shared" si="4"/>
        <v>0</v>
      </c>
      <c r="G62" s="24"/>
    </row>
    <row r="63" spans="1:7" ht="21.75" customHeight="1" x14ac:dyDescent="0.15">
      <c r="A63" s="25" t="s">
        <v>42</v>
      </c>
      <c r="B63" s="20" t="s">
        <v>89</v>
      </c>
      <c r="C63" s="21">
        <f>+(1.6*1.6*1*8)</f>
        <v>20.48</v>
      </c>
      <c r="D63" s="22" t="s">
        <v>7</v>
      </c>
      <c r="E63" s="23"/>
      <c r="F63" s="23">
        <f t="shared" si="4"/>
        <v>0</v>
      </c>
      <c r="G63" s="24"/>
    </row>
    <row r="64" spans="1:7" ht="21.75" customHeight="1" x14ac:dyDescent="0.15">
      <c r="A64" s="25" t="s">
        <v>43</v>
      </c>
      <c r="B64" s="20" t="s">
        <v>90</v>
      </c>
      <c r="C64" s="21">
        <f>+((1.6*1.6*1*8)-(1.3*1.3*1*8))</f>
        <v>6.96</v>
      </c>
      <c r="D64" s="22" t="s">
        <v>7</v>
      </c>
      <c r="E64" s="23"/>
      <c r="F64" s="23">
        <f t="shared" si="4"/>
        <v>0</v>
      </c>
      <c r="G64" s="24"/>
    </row>
    <row r="65" spans="1:7" ht="21.75" customHeight="1" x14ac:dyDescent="0.15">
      <c r="A65" s="25" t="s">
        <v>44</v>
      </c>
      <c r="B65" s="20" t="s">
        <v>41</v>
      </c>
      <c r="C65" s="21">
        <f>+C64*1.3</f>
        <v>9.0500000000000007</v>
      </c>
      <c r="D65" s="22" t="s">
        <v>7</v>
      </c>
      <c r="E65" s="23"/>
      <c r="F65" s="23">
        <f t="shared" si="4"/>
        <v>0</v>
      </c>
      <c r="G65" s="24"/>
    </row>
    <row r="66" spans="1:7" ht="21.75" customHeight="1" x14ac:dyDescent="0.15">
      <c r="A66" s="31">
        <f>+A62+0.1</f>
        <v>2.2999999999999998</v>
      </c>
      <c r="B66" s="27" t="s">
        <v>35</v>
      </c>
      <c r="C66" s="21"/>
      <c r="D66" s="22"/>
      <c r="E66" s="23"/>
      <c r="F66" s="23">
        <f t="shared" si="4"/>
        <v>0</v>
      </c>
      <c r="G66" s="24"/>
    </row>
    <row r="67" spans="1:7" ht="17.25" customHeight="1" x14ac:dyDescent="0.15">
      <c r="A67" s="25" t="s">
        <v>17</v>
      </c>
      <c r="B67" s="20" t="s">
        <v>82</v>
      </c>
      <c r="C67" s="21">
        <f>+(1.3*1.3*0.5*8)</f>
        <v>6.76</v>
      </c>
      <c r="D67" s="22" t="s">
        <v>7</v>
      </c>
      <c r="E67" s="23"/>
      <c r="F67" s="23">
        <f t="shared" si="4"/>
        <v>0</v>
      </c>
      <c r="G67" s="24"/>
    </row>
    <row r="68" spans="1:7" ht="21.75" customHeight="1" x14ac:dyDescent="0.15">
      <c r="A68" s="25" t="s">
        <v>84</v>
      </c>
      <c r="B68" s="20" t="s">
        <v>83</v>
      </c>
      <c r="C68" s="21">
        <f>+(5.7*0.4*0.2*8)</f>
        <v>3.65</v>
      </c>
      <c r="D68" s="22" t="s">
        <v>7</v>
      </c>
      <c r="E68" s="23"/>
      <c r="F68" s="23">
        <f t="shared" si="4"/>
        <v>0</v>
      </c>
      <c r="G68" s="24"/>
    </row>
    <row r="69" spans="1:7" ht="18.75" customHeight="1" x14ac:dyDescent="0.15">
      <c r="A69" s="25" t="s">
        <v>85</v>
      </c>
      <c r="B69" s="20" t="s">
        <v>46</v>
      </c>
      <c r="C69" s="21">
        <f>(13.6+12.2)*(0.2+1.3+0.2+1.3+0.2)*0.2</f>
        <v>16.510000000000002</v>
      </c>
      <c r="D69" s="22" t="s">
        <v>7</v>
      </c>
      <c r="E69" s="23"/>
      <c r="F69" s="23">
        <f t="shared" si="4"/>
        <v>0</v>
      </c>
      <c r="G69" s="24"/>
    </row>
    <row r="70" spans="1:7" ht="21.75" customHeight="1" x14ac:dyDescent="0.15">
      <c r="A70" s="25" t="s">
        <v>86</v>
      </c>
      <c r="B70" s="20" t="s">
        <v>30</v>
      </c>
      <c r="C70" s="21">
        <v>0.79</v>
      </c>
      <c r="D70" s="22" t="s">
        <v>7</v>
      </c>
      <c r="E70" s="23"/>
      <c r="F70" s="23"/>
      <c r="G70" s="24"/>
    </row>
    <row r="71" spans="1:7" ht="21.75" customHeight="1" x14ac:dyDescent="0.15">
      <c r="A71" s="25" t="s">
        <v>86</v>
      </c>
      <c r="B71" s="20" t="s">
        <v>47</v>
      </c>
      <c r="C71" s="21">
        <f>(13.6+12.2+10+((1.3+0.2+1.3)*2)*1.8*0.02)+(2.8*1.8*0.2*2)</f>
        <v>38.020000000000003</v>
      </c>
      <c r="D71" s="22" t="s">
        <v>7</v>
      </c>
      <c r="E71" s="23"/>
      <c r="F71" s="23">
        <f t="shared" si="4"/>
        <v>0</v>
      </c>
      <c r="G71" s="24"/>
    </row>
    <row r="72" spans="1:7" ht="21.75" customHeight="1" x14ac:dyDescent="0.15">
      <c r="A72" s="31">
        <f>+A66+0.1</f>
        <v>2.4</v>
      </c>
      <c r="B72" s="27" t="s">
        <v>9</v>
      </c>
      <c r="C72" s="21"/>
      <c r="D72" s="22"/>
      <c r="E72" s="23"/>
      <c r="F72" s="23">
        <f t="shared" si="4"/>
        <v>0</v>
      </c>
      <c r="G72" s="24"/>
    </row>
    <row r="73" spans="1:7" ht="21.75" customHeight="1" x14ac:dyDescent="0.15">
      <c r="A73" s="25" t="s">
        <v>87</v>
      </c>
      <c r="B73" s="20" t="s">
        <v>105</v>
      </c>
      <c r="C73" s="21">
        <f>((13.6+12.2+10+10+((1.3+0.2+1.3)*2)*1.8)+(2.8*1.8*2))*2</f>
        <v>131.91999999999999</v>
      </c>
      <c r="D73" s="22" t="s">
        <v>14</v>
      </c>
      <c r="E73" s="23"/>
      <c r="F73" s="23"/>
      <c r="G73" s="24"/>
    </row>
    <row r="74" spans="1:7" ht="21.75" customHeight="1" x14ac:dyDescent="0.15">
      <c r="A74" s="25" t="s">
        <v>106</v>
      </c>
      <c r="B74" s="20" t="s">
        <v>88</v>
      </c>
      <c r="C74" s="21">
        <f>((13.6+12.2+10+10+((1.3+0.2+1.3)*2)*1.8)+(2.8*1.8*2))*2</f>
        <v>131.91999999999999</v>
      </c>
      <c r="D74" s="22" t="s">
        <v>14</v>
      </c>
      <c r="E74" s="23"/>
      <c r="F74" s="23">
        <f t="shared" si="4"/>
        <v>0</v>
      </c>
      <c r="G74" s="24"/>
    </row>
    <row r="75" spans="1:7" ht="21.75" customHeight="1" x14ac:dyDescent="0.15">
      <c r="A75" s="25" t="s">
        <v>109</v>
      </c>
      <c r="B75" s="20" t="s">
        <v>60</v>
      </c>
      <c r="C75" s="21">
        <f>(13.6+12.2)*(0.2+1.3+0.2+1.3+0.2)</f>
        <v>82.56</v>
      </c>
      <c r="D75" s="22" t="s">
        <v>14</v>
      </c>
      <c r="E75" s="23"/>
      <c r="F75" s="23">
        <f t="shared" si="4"/>
        <v>0</v>
      </c>
      <c r="G75" s="24"/>
    </row>
    <row r="76" spans="1:7" ht="21.75" customHeight="1" x14ac:dyDescent="0.15">
      <c r="A76" s="25" t="s">
        <v>110</v>
      </c>
      <c r="B76" s="20" t="s">
        <v>107</v>
      </c>
      <c r="C76" s="21">
        <f>(13.6+12.2+10+((1.3+0.2+1.3)*2*3))+(2.8*1.8*2*3)</f>
        <v>82.84</v>
      </c>
      <c r="D76" s="22" t="s">
        <v>6</v>
      </c>
      <c r="E76" s="23"/>
      <c r="F76" s="23">
        <f t="shared" si="4"/>
        <v>0</v>
      </c>
      <c r="G76" s="24"/>
    </row>
    <row r="77" spans="1:7" ht="21.75" customHeight="1" x14ac:dyDescent="0.15">
      <c r="A77" s="31">
        <v>2.5</v>
      </c>
      <c r="B77" s="27" t="s">
        <v>95</v>
      </c>
      <c r="C77" s="21">
        <v>1</v>
      </c>
      <c r="D77" s="22" t="s">
        <v>8</v>
      </c>
      <c r="E77" s="23"/>
      <c r="F77" s="23">
        <f t="shared" si="4"/>
        <v>0</v>
      </c>
      <c r="G77" s="24"/>
    </row>
    <row r="78" spans="1:7" ht="35.25" customHeight="1" x14ac:dyDescent="0.15">
      <c r="A78" s="31">
        <v>2.6</v>
      </c>
      <c r="B78" s="27" t="s">
        <v>229</v>
      </c>
      <c r="C78" s="21">
        <v>2</v>
      </c>
      <c r="D78" s="22" t="s">
        <v>3</v>
      </c>
      <c r="E78" s="23"/>
      <c r="F78" s="23">
        <f t="shared" ref="F78" si="5">+C78*E78</f>
        <v>0</v>
      </c>
      <c r="G78" s="24"/>
    </row>
    <row r="79" spans="1:7" ht="18" customHeight="1" x14ac:dyDescent="0.15">
      <c r="A79" s="67">
        <v>2.7</v>
      </c>
      <c r="B79" s="27" t="s">
        <v>28</v>
      </c>
      <c r="C79" s="21">
        <v>4</v>
      </c>
      <c r="D79" s="22" t="s">
        <v>3</v>
      </c>
      <c r="E79" s="23"/>
      <c r="F79" s="23">
        <f t="shared" si="4"/>
        <v>0</v>
      </c>
      <c r="G79" s="65"/>
    </row>
    <row r="80" spans="1:7" ht="17.25" customHeight="1" x14ac:dyDescent="0.15">
      <c r="A80" s="61">
        <v>2.8</v>
      </c>
      <c r="B80" s="27" t="s">
        <v>29</v>
      </c>
      <c r="C80" s="21">
        <v>1</v>
      </c>
      <c r="D80" s="22" t="s">
        <v>8</v>
      </c>
      <c r="E80" s="23"/>
      <c r="F80" s="23">
        <f t="shared" si="4"/>
        <v>0</v>
      </c>
      <c r="G80" s="65">
        <f>SUM(F61:F80)</f>
        <v>0</v>
      </c>
    </row>
    <row r="81" spans="1:7" ht="17.25" customHeight="1" thickBot="1" x14ac:dyDescent="0.2">
      <c r="A81" s="38"/>
      <c r="B81" s="141"/>
      <c r="C81" s="34"/>
      <c r="D81" s="35"/>
      <c r="E81" s="36"/>
      <c r="F81" s="36"/>
      <c r="G81" s="37"/>
    </row>
    <row r="82" spans="1:7" ht="17.25" customHeight="1" thickTop="1" x14ac:dyDescent="0.15">
      <c r="A82" s="67"/>
      <c r="B82" s="68"/>
      <c r="C82" s="62"/>
      <c r="D82" s="63"/>
      <c r="E82" s="64"/>
      <c r="F82" s="64"/>
      <c r="G82" s="65"/>
    </row>
    <row r="83" spans="1:7" ht="17.25" customHeight="1" x14ac:dyDescent="0.15">
      <c r="A83" s="26">
        <v>3</v>
      </c>
      <c r="B83" s="27" t="s">
        <v>101</v>
      </c>
      <c r="C83" s="46"/>
      <c r="D83" s="69"/>
      <c r="E83" s="23"/>
      <c r="F83" s="47"/>
      <c r="G83" s="48"/>
    </row>
    <row r="84" spans="1:7" ht="17.25" customHeight="1" x14ac:dyDescent="0.15">
      <c r="A84" s="45">
        <f>+A83+0.1</f>
        <v>3.1</v>
      </c>
      <c r="B84" s="70" t="s">
        <v>5</v>
      </c>
      <c r="C84" s="47">
        <v>0</v>
      </c>
      <c r="D84" s="71"/>
      <c r="E84" s="23"/>
      <c r="F84" s="47">
        <v>0</v>
      </c>
      <c r="G84" s="49"/>
    </row>
    <row r="85" spans="1:7" ht="17.25" customHeight="1" x14ac:dyDescent="0.15">
      <c r="A85" s="50" t="s">
        <v>13</v>
      </c>
      <c r="B85" s="20" t="s">
        <v>39</v>
      </c>
      <c r="C85" s="21">
        <v>1</v>
      </c>
      <c r="D85" s="22" t="s">
        <v>8</v>
      </c>
      <c r="E85" s="23"/>
      <c r="F85" s="23">
        <f t="shared" ref="F85:F95" si="6">+C85*E85</f>
        <v>0</v>
      </c>
      <c r="G85" s="24"/>
    </row>
    <row r="86" spans="1:7" ht="17.25" customHeight="1" x14ac:dyDescent="0.15">
      <c r="A86" s="31">
        <f>+A84+0.1</f>
        <v>3.2</v>
      </c>
      <c r="B86" s="27" t="s">
        <v>40</v>
      </c>
      <c r="C86" s="21"/>
      <c r="D86" s="22"/>
      <c r="E86" s="23"/>
      <c r="F86" s="23">
        <f t="shared" si="6"/>
        <v>0</v>
      </c>
      <c r="G86" s="24"/>
    </row>
    <row r="87" spans="1:7" ht="17.25" customHeight="1" x14ac:dyDescent="0.15">
      <c r="A87" s="25" t="s">
        <v>111</v>
      </c>
      <c r="B87" s="20" t="s">
        <v>89</v>
      </c>
      <c r="C87" s="21">
        <f>+(23.7*21.9)*1.5</f>
        <v>778.55</v>
      </c>
      <c r="D87" s="22" t="s">
        <v>7</v>
      </c>
      <c r="E87" s="23"/>
      <c r="F87" s="23">
        <f t="shared" si="6"/>
        <v>0</v>
      </c>
      <c r="G87" s="24"/>
    </row>
    <row r="88" spans="1:7" ht="17.25" customHeight="1" x14ac:dyDescent="0.15">
      <c r="A88" s="25" t="s">
        <v>112</v>
      </c>
      <c r="B88" s="20" t="s">
        <v>90</v>
      </c>
      <c r="C88" s="21">
        <f>+(23.7*21.9*1.5)-(22.5*20.7*1.5)</f>
        <v>79.92</v>
      </c>
      <c r="D88" s="22" t="s">
        <v>7</v>
      </c>
      <c r="E88" s="23"/>
      <c r="F88" s="23">
        <f t="shared" si="6"/>
        <v>0</v>
      </c>
      <c r="G88" s="24"/>
    </row>
    <row r="89" spans="1:7" ht="17.25" customHeight="1" x14ac:dyDescent="0.15">
      <c r="A89" s="25" t="s">
        <v>113</v>
      </c>
      <c r="B89" s="20" t="s">
        <v>41</v>
      </c>
      <c r="C89" s="21">
        <f>+C88*1.3</f>
        <v>103.9</v>
      </c>
      <c r="D89" s="22" t="s">
        <v>7</v>
      </c>
      <c r="E89" s="23"/>
      <c r="F89" s="23">
        <f t="shared" si="6"/>
        <v>0</v>
      </c>
      <c r="G89" s="24"/>
    </row>
    <row r="90" spans="1:7" ht="22.5" customHeight="1" x14ac:dyDescent="0.15">
      <c r="A90" s="31">
        <f>+A86+0.1</f>
        <v>3.3</v>
      </c>
      <c r="B90" s="27" t="s">
        <v>35</v>
      </c>
      <c r="C90" s="21"/>
      <c r="D90" s="22"/>
      <c r="E90" s="23"/>
      <c r="F90" s="23">
        <f t="shared" si="6"/>
        <v>0</v>
      </c>
      <c r="G90" s="24"/>
    </row>
    <row r="91" spans="1:7" ht="22.5" customHeight="1" x14ac:dyDescent="0.15">
      <c r="A91" s="25" t="s">
        <v>114</v>
      </c>
      <c r="B91" s="20" t="s">
        <v>91</v>
      </c>
      <c r="C91" s="21">
        <f>+(23.7*21.9*0.1)</f>
        <v>51.9</v>
      </c>
      <c r="D91" s="22" t="s">
        <v>7</v>
      </c>
      <c r="E91" s="23"/>
      <c r="F91" s="23">
        <f t="shared" si="6"/>
        <v>0</v>
      </c>
      <c r="G91" s="24"/>
    </row>
    <row r="92" spans="1:7" ht="22.5" customHeight="1" x14ac:dyDescent="0.15">
      <c r="A92" s="25" t="s">
        <v>115</v>
      </c>
      <c r="B92" s="20" t="s">
        <v>46</v>
      </c>
      <c r="C92" s="21">
        <f>+(22.5*20.7*0.15)</f>
        <v>69.86</v>
      </c>
      <c r="D92" s="22" t="s">
        <v>7</v>
      </c>
      <c r="E92" s="23"/>
      <c r="F92" s="23">
        <f t="shared" si="6"/>
        <v>0</v>
      </c>
      <c r="G92" s="24"/>
    </row>
    <row r="93" spans="1:7" ht="22.5" customHeight="1" x14ac:dyDescent="0.15">
      <c r="A93" s="25" t="s">
        <v>116</v>
      </c>
      <c r="B93" s="20" t="s">
        <v>102</v>
      </c>
      <c r="C93" s="21">
        <f>+(22.5*2)+(20.7*3)*1.5*0.2</f>
        <v>63.63</v>
      </c>
      <c r="D93" s="22" t="s">
        <v>7</v>
      </c>
      <c r="E93" s="23"/>
      <c r="F93" s="23">
        <f t="shared" si="6"/>
        <v>0</v>
      </c>
      <c r="G93" s="24"/>
    </row>
    <row r="94" spans="1:7" ht="22.5" customHeight="1" x14ac:dyDescent="0.15">
      <c r="A94" s="31">
        <f>+A90+0.1</f>
        <v>3.4</v>
      </c>
      <c r="B94" s="27" t="s">
        <v>9</v>
      </c>
      <c r="C94" s="21"/>
      <c r="D94" s="22"/>
      <c r="E94" s="23"/>
      <c r="F94" s="23">
        <f t="shared" si="6"/>
        <v>0</v>
      </c>
      <c r="G94" s="24"/>
    </row>
    <row r="95" spans="1:7" ht="22.5" customHeight="1" x14ac:dyDescent="0.15">
      <c r="A95" s="25" t="s">
        <v>117</v>
      </c>
      <c r="B95" s="20" t="s">
        <v>105</v>
      </c>
      <c r="C95" s="21">
        <f>+(22.5*2)+(20.7*3)*1.5</f>
        <v>138.15</v>
      </c>
      <c r="D95" s="22" t="s">
        <v>14</v>
      </c>
      <c r="E95" s="23"/>
      <c r="F95" s="23">
        <f t="shared" si="6"/>
        <v>0</v>
      </c>
      <c r="G95" s="24"/>
    </row>
    <row r="96" spans="1:7" ht="22.5" customHeight="1" x14ac:dyDescent="0.15">
      <c r="A96" s="25" t="s">
        <v>118</v>
      </c>
      <c r="B96" s="20" t="s">
        <v>88</v>
      </c>
      <c r="C96" s="21">
        <f>+C95</f>
        <v>138.15</v>
      </c>
      <c r="D96" s="22" t="s">
        <v>14</v>
      </c>
      <c r="E96" s="23"/>
      <c r="F96" s="23">
        <f t="shared" ref="F96:F97" si="7">+C96*E96</f>
        <v>0</v>
      </c>
      <c r="G96" s="24"/>
    </row>
    <row r="97" spans="1:7" ht="22.5" customHeight="1" x14ac:dyDescent="0.15">
      <c r="A97" s="25" t="s">
        <v>119</v>
      </c>
      <c r="B97" s="20" t="s">
        <v>60</v>
      </c>
      <c r="C97" s="21">
        <f>+(22.5*20.7)</f>
        <v>465.75</v>
      </c>
      <c r="D97" s="22" t="s">
        <v>14</v>
      </c>
      <c r="E97" s="23"/>
      <c r="F97" s="23">
        <f t="shared" si="7"/>
        <v>0</v>
      </c>
      <c r="G97" s="24"/>
    </row>
    <row r="98" spans="1:7" ht="22.5" customHeight="1" x14ac:dyDescent="0.15">
      <c r="A98" s="25" t="s">
        <v>120</v>
      </c>
      <c r="B98" s="20" t="s">
        <v>107</v>
      </c>
      <c r="C98" s="21">
        <f>+(22.5*2)+(20.7*3)*3</f>
        <v>231.3</v>
      </c>
      <c r="D98" s="22" t="s">
        <v>6</v>
      </c>
      <c r="E98" s="23"/>
      <c r="F98" s="23">
        <f t="shared" ref="F98:F115" si="8">+C98*E98</f>
        <v>0</v>
      </c>
      <c r="G98" s="24"/>
    </row>
    <row r="99" spans="1:7" ht="22.5" customHeight="1" x14ac:dyDescent="0.15">
      <c r="A99" s="25" t="s">
        <v>113</v>
      </c>
      <c r="B99" s="20" t="s">
        <v>133</v>
      </c>
      <c r="C99" s="21">
        <f>+(22.5*20.7*0.8)</f>
        <v>372.6</v>
      </c>
      <c r="D99" s="22" t="s">
        <v>7</v>
      </c>
      <c r="E99" s="23"/>
      <c r="F99" s="23">
        <f t="shared" si="8"/>
        <v>0</v>
      </c>
      <c r="G99" s="24"/>
    </row>
    <row r="100" spans="1:7" ht="22.5" customHeight="1" x14ac:dyDescent="0.15">
      <c r="A100" s="31">
        <f>+A94+0.1</f>
        <v>3.5</v>
      </c>
      <c r="B100" s="27" t="s">
        <v>95</v>
      </c>
      <c r="C100" s="21"/>
      <c r="D100" s="22"/>
      <c r="E100" s="23"/>
      <c r="F100" s="23">
        <f t="shared" si="8"/>
        <v>0</v>
      </c>
      <c r="G100" s="24"/>
    </row>
    <row r="101" spans="1:7" ht="22.5" customHeight="1" x14ac:dyDescent="0.15">
      <c r="A101" s="31" t="s">
        <v>121</v>
      </c>
      <c r="B101" s="27" t="s">
        <v>96</v>
      </c>
      <c r="C101" s="21"/>
      <c r="D101" s="22"/>
      <c r="E101" s="23"/>
      <c r="F101" s="23">
        <f t="shared" si="8"/>
        <v>0</v>
      </c>
      <c r="G101" s="24"/>
    </row>
    <row r="102" spans="1:7" ht="22.5" customHeight="1" x14ac:dyDescent="0.15">
      <c r="A102" s="25" t="s">
        <v>122</v>
      </c>
      <c r="B102" s="20" t="s">
        <v>67</v>
      </c>
      <c r="C102" s="21">
        <f>22.5+22.5+10+10+5</f>
        <v>70</v>
      </c>
      <c r="D102" s="22" t="s">
        <v>6</v>
      </c>
      <c r="E102" s="23"/>
      <c r="F102" s="23">
        <f t="shared" si="8"/>
        <v>0</v>
      </c>
      <c r="G102" s="39"/>
    </row>
    <row r="103" spans="1:7" ht="22.5" customHeight="1" x14ac:dyDescent="0.15">
      <c r="A103" s="25" t="s">
        <v>134</v>
      </c>
      <c r="B103" s="20" t="s">
        <v>227</v>
      </c>
      <c r="C103" s="21">
        <f>+(19*12.5)+60</f>
        <v>297.5</v>
      </c>
      <c r="D103" s="22" t="s">
        <v>6</v>
      </c>
      <c r="E103" s="23"/>
      <c r="F103" s="23">
        <f t="shared" si="8"/>
        <v>0</v>
      </c>
      <c r="G103" s="39"/>
    </row>
    <row r="104" spans="1:7" ht="22.5" customHeight="1" x14ac:dyDescent="0.15">
      <c r="A104" s="31" t="s">
        <v>135</v>
      </c>
      <c r="B104" s="27" t="s">
        <v>64</v>
      </c>
      <c r="C104" s="21"/>
      <c r="D104" s="22"/>
      <c r="E104" s="23"/>
      <c r="F104" s="23">
        <f t="shared" si="8"/>
        <v>0</v>
      </c>
      <c r="G104" s="24"/>
    </row>
    <row r="105" spans="1:7" ht="22.5" customHeight="1" x14ac:dyDescent="0.15">
      <c r="A105" s="61" t="s">
        <v>136</v>
      </c>
      <c r="B105" s="20" t="s">
        <v>126</v>
      </c>
      <c r="C105" s="21">
        <v>2</v>
      </c>
      <c r="D105" s="22" t="s">
        <v>3</v>
      </c>
      <c r="E105" s="23"/>
      <c r="F105" s="23">
        <f t="shared" si="8"/>
        <v>0</v>
      </c>
      <c r="G105" s="24"/>
    </row>
    <row r="106" spans="1:7" ht="22.5" customHeight="1" x14ac:dyDescent="0.15">
      <c r="A106" s="61" t="s">
        <v>137</v>
      </c>
      <c r="B106" s="20" t="s">
        <v>127</v>
      </c>
      <c r="C106" s="21">
        <v>22</v>
      </c>
      <c r="D106" s="22" t="s">
        <v>3</v>
      </c>
      <c r="E106" s="23"/>
      <c r="F106" s="23">
        <f t="shared" si="8"/>
        <v>0</v>
      </c>
      <c r="G106" s="24"/>
    </row>
    <row r="107" spans="1:7" ht="22.5" customHeight="1" x14ac:dyDescent="0.15">
      <c r="A107" s="31" t="s">
        <v>138</v>
      </c>
      <c r="B107" s="27" t="s">
        <v>68</v>
      </c>
      <c r="C107" s="21"/>
      <c r="D107" s="22"/>
      <c r="E107" s="23"/>
      <c r="F107" s="23">
        <f t="shared" si="8"/>
        <v>0</v>
      </c>
      <c r="G107" s="24"/>
    </row>
    <row r="108" spans="1:7" ht="22.5" customHeight="1" x14ac:dyDescent="0.15">
      <c r="A108" s="61" t="s">
        <v>139</v>
      </c>
      <c r="B108" s="20" t="s">
        <v>127</v>
      </c>
      <c r="C108" s="21">
        <v>18</v>
      </c>
      <c r="D108" s="22" t="s">
        <v>3</v>
      </c>
      <c r="E108" s="23"/>
      <c r="F108" s="23">
        <f t="shared" si="8"/>
        <v>0</v>
      </c>
      <c r="G108" s="24"/>
    </row>
    <row r="109" spans="1:7" ht="22.5" customHeight="1" x14ac:dyDescent="0.15">
      <c r="A109" s="31" t="s">
        <v>140</v>
      </c>
      <c r="B109" s="27" t="s">
        <v>69</v>
      </c>
      <c r="C109" s="21"/>
      <c r="D109" s="22"/>
      <c r="E109" s="23"/>
      <c r="F109" s="23">
        <f t="shared" si="8"/>
        <v>0</v>
      </c>
      <c r="G109" s="24"/>
    </row>
    <row r="110" spans="1:7" ht="22.5" customHeight="1" x14ac:dyDescent="0.15">
      <c r="A110" s="61" t="s">
        <v>141</v>
      </c>
      <c r="B110" s="20" t="s">
        <v>123</v>
      </c>
      <c r="C110" s="21">
        <f>11*2</f>
        <v>22</v>
      </c>
      <c r="D110" s="22" t="s">
        <v>3</v>
      </c>
      <c r="E110" s="23"/>
      <c r="F110" s="23">
        <f t="shared" si="8"/>
        <v>0</v>
      </c>
      <c r="G110" s="24"/>
    </row>
    <row r="111" spans="1:7" ht="22.5" customHeight="1" x14ac:dyDescent="0.15">
      <c r="A111" s="61" t="s">
        <v>142</v>
      </c>
      <c r="B111" s="20" t="s">
        <v>124</v>
      </c>
      <c r="C111" s="21">
        <f>6*2</f>
        <v>12</v>
      </c>
      <c r="D111" s="22" t="s">
        <v>3</v>
      </c>
      <c r="E111" s="23"/>
      <c r="F111" s="23">
        <f t="shared" si="8"/>
        <v>0</v>
      </c>
      <c r="G111" s="24"/>
    </row>
    <row r="112" spans="1:7" ht="22.5" customHeight="1" x14ac:dyDescent="0.15">
      <c r="A112" s="31" t="s">
        <v>143</v>
      </c>
      <c r="B112" s="27" t="s">
        <v>215</v>
      </c>
      <c r="C112" s="21"/>
      <c r="D112" s="22"/>
      <c r="E112" s="23"/>
      <c r="F112" s="23">
        <f t="shared" si="8"/>
        <v>0</v>
      </c>
      <c r="G112" s="24"/>
    </row>
    <row r="113" spans="1:7" ht="22.5" customHeight="1" x14ac:dyDescent="0.15">
      <c r="A113" s="61" t="s">
        <v>144</v>
      </c>
      <c r="B113" s="20" t="s">
        <v>125</v>
      </c>
      <c r="C113" s="21">
        <f>13*2</f>
        <v>26</v>
      </c>
      <c r="D113" s="22" t="s">
        <v>3</v>
      </c>
      <c r="E113" s="23"/>
      <c r="F113" s="23">
        <f t="shared" si="8"/>
        <v>0</v>
      </c>
      <c r="G113" s="24"/>
    </row>
    <row r="114" spans="1:7" ht="22.5" customHeight="1" x14ac:dyDescent="0.15">
      <c r="A114" s="31" t="s">
        <v>145</v>
      </c>
      <c r="B114" s="27" t="s">
        <v>78</v>
      </c>
      <c r="C114" s="21">
        <f>1*2</f>
        <v>2</v>
      </c>
      <c r="D114" s="22" t="s">
        <v>79</v>
      </c>
      <c r="E114" s="23"/>
      <c r="F114" s="23">
        <f t="shared" si="8"/>
        <v>0</v>
      </c>
      <c r="G114" s="24"/>
    </row>
    <row r="115" spans="1:7" ht="22.5" customHeight="1" x14ac:dyDescent="0.15">
      <c r="A115" s="31">
        <f>+A100+0.1</f>
        <v>3.6</v>
      </c>
      <c r="B115" s="27" t="s">
        <v>146</v>
      </c>
      <c r="C115" s="21">
        <v>1</v>
      </c>
      <c r="D115" s="22" t="s">
        <v>8</v>
      </c>
      <c r="E115" s="23"/>
      <c r="F115" s="23">
        <f t="shared" si="8"/>
        <v>0</v>
      </c>
      <c r="G115" s="24">
        <f>SUM(F85:F115)</f>
        <v>0</v>
      </c>
    </row>
    <row r="116" spans="1:7" ht="22.5" customHeight="1" thickBot="1" x14ac:dyDescent="0.2">
      <c r="A116" s="140"/>
      <c r="B116" s="141"/>
      <c r="C116" s="34"/>
      <c r="D116" s="35"/>
      <c r="E116" s="36"/>
      <c r="F116" s="36"/>
      <c r="G116" s="37"/>
    </row>
    <row r="117" spans="1:7" ht="22.5" customHeight="1" thickTop="1" x14ac:dyDescent="0.15">
      <c r="A117" s="138"/>
      <c r="B117" s="139"/>
      <c r="C117" s="130"/>
      <c r="D117" s="131"/>
      <c r="E117" s="64"/>
      <c r="F117" s="132"/>
      <c r="G117" s="133"/>
    </row>
    <row r="118" spans="1:7" ht="14.25" customHeight="1" x14ac:dyDescent="0.15">
      <c r="A118" s="52"/>
      <c r="B118" s="72"/>
      <c r="C118" s="47"/>
      <c r="D118" s="51"/>
      <c r="E118" s="23"/>
      <c r="F118" s="47"/>
      <c r="G118" s="48"/>
    </row>
    <row r="119" spans="1:7" ht="22.5" customHeight="1" x14ac:dyDescent="0.15">
      <c r="A119" s="26">
        <v>4</v>
      </c>
      <c r="B119" s="27" t="s">
        <v>148</v>
      </c>
      <c r="C119" s="47"/>
      <c r="D119" s="51"/>
      <c r="E119" s="23"/>
      <c r="F119" s="47"/>
      <c r="G119" s="48"/>
    </row>
    <row r="120" spans="1:7" ht="36.75" customHeight="1" x14ac:dyDescent="0.15">
      <c r="A120" s="25">
        <f>+A119+0.1</f>
        <v>4.0999999999999996</v>
      </c>
      <c r="B120" s="20" t="s">
        <v>216</v>
      </c>
      <c r="C120" s="21">
        <v>60357.65</v>
      </c>
      <c r="D120" s="22" t="s">
        <v>14</v>
      </c>
      <c r="E120" s="23"/>
      <c r="F120" s="23">
        <f t="shared" ref="F120" si="9">+C120*E120</f>
        <v>0</v>
      </c>
      <c r="G120" s="24"/>
    </row>
    <row r="121" spans="1:7" ht="17.25" customHeight="1" x14ac:dyDescent="0.15">
      <c r="A121" s="25">
        <f>+A120+0.1</f>
        <v>4.2</v>
      </c>
      <c r="B121" s="20" t="s">
        <v>147</v>
      </c>
      <c r="C121" s="21">
        <v>30</v>
      </c>
      <c r="D121" s="22" t="s">
        <v>38</v>
      </c>
      <c r="E121" s="23"/>
      <c r="F121" s="23">
        <f t="shared" ref="F121" si="10">+C121*E121</f>
        <v>0</v>
      </c>
      <c r="G121" s="24">
        <f>SUM(F120:F121)</f>
        <v>0</v>
      </c>
    </row>
    <row r="122" spans="1:7" ht="14.25" customHeight="1" x14ac:dyDescent="0.15">
      <c r="A122" s="25"/>
      <c r="B122" s="20"/>
      <c r="C122" s="21"/>
      <c r="D122" s="22"/>
      <c r="E122" s="23"/>
      <c r="F122" s="23"/>
      <c r="G122" s="24"/>
    </row>
    <row r="123" spans="1:7" ht="23.25" customHeight="1" x14ac:dyDescent="0.15">
      <c r="A123" s="26">
        <v>5</v>
      </c>
      <c r="B123" s="27" t="s">
        <v>149</v>
      </c>
      <c r="C123" s="47"/>
      <c r="D123" s="51"/>
      <c r="E123" s="23"/>
      <c r="F123" s="47"/>
      <c r="G123" s="48"/>
    </row>
    <row r="124" spans="1:7" ht="23.25" customHeight="1" x14ac:dyDescent="0.15">
      <c r="A124" s="25">
        <f>+A123+0.1</f>
        <v>5.0999999999999996</v>
      </c>
      <c r="B124" s="20" t="s">
        <v>217</v>
      </c>
      <c r="C124" s="21">
        <v>60357.65</v>
      </c>
      <c r="D124" s="22" t="s">
        <v>14</v>
      </c>
      <c r="E124" s="23"/>
      <c r="F124" s="23">
        <f t="shared" ref="F124:F125" si="11">+C124*E124</f>
        <v>0</v>
      </c>
      <c r="G124" s="24"/>
    </row>
    <row r="125" spans="1:7" ht="23.25" customHeight="1" x14ac:dyDescent="0.15">
      <c r="A125" s="25">
        <f>+A124+0.1</f>
        <v>5.2</v>
      </c>
      <c r="B125" s="20" t="s">
        <v>150</v>
      </c>
      <c r="C125" s="21">
        <v>6</v>
      </c>
      <c r="D125" s="22" t="s">
        <v>38</v>
      </c>
      <c r="E125" s="23"/>
      <c r="F125" s="23">
        <f t="shared" si="11"/>
        <v>0</v>
      </c>
      <c r="G125" s="24"/>
    </row>
    <row r="126" spans="1:7" ht="23.25" customHeight="1" x14ac:dyDescent="0.15">
      <c r="A126" s="25">
        <f>+A125+0.1</f>
        <v>5.3</v>
      </c>
      <c r="B126" s="20" t="s">
        <v>218</v>
      </c>
      <c r="C126" s="21">
        <v>1</v>
      </c>
      <c r="D126" s="22" t="s">
        <v>8</v>
      </c>
      <c r="E126" s="23"/>
      <c r="F126" s="23">
        <f t="shared" ref="F126" si="12">+C126*E126</f>
        <v>0</v>
      </c>
      <c r="G126" s="24"/>
    </row>
    <row r="127" spans="1:7" ht="23.25" customHeight="1" x14ac:dyDescent="0.15">
      <c r="A127" s="25">
        <f>+A126+0.1</f>
        <v>5.4</v>
      </c>
      <c r="B127" s="20" t="s">
        <v>151</v>
      </c>
      <c r="C127" s="21">
        <v>1</v>
      </c>
      <c r="D127" s="22" t="s">
        <v>8</v>
      </c>
      <c r="E127" s="23"/>
      <c r="F127" s="23">
        <f t="shared" ref="F127" si="13">+C127*E127</f>
        <v>0</v>
      </c>
      <c r="G127" s="24">
        <f>SUM(F124:F127)</f>
        <v>0</v>
      </c>
    </row>
    <row r="128" spans="1:7" ht="25.5" customHeight="1" x14ac:dyDescent="0.15">
      <c r="A128" s="26">
        <v>6</v>
      </c>
      <c r="B128" s="27" t="s">
        <v>152</v>
      </c>
      <c r="C128" s="47"/>
      <c r="D128" s="51"/>
      <c r="E128" s="23"/>
      <c r="F128" s="47"/>
      <c r="G128" s="48"/>
    </row>
    <row r="129" spans="1:7" ht="25.5" customHeight="1" x14ac:dyDescent="0.15">
      <c r="A129" s="25">
        <f>+A128+0.1</f>
        <v>6.1</v>
      </c>
      <c r="B129" s="27" t="s">
        <v>155</v>
      </c>
      <c r="C129" s="21"/>
      <c r="D129" s="22"/>
      <c r="E129" s="23"/>
      <c r="F129" s="23">
        <f t="shared" ref="F129:F145" si="14">+C129*E129</f>
        <v>0</v>
      </c>
      <c r="G129" s="24"/>
    </row>
    <row r="130" spans="1:7" ht="25.5" customHeight="1" x14ac:dyDescent="0.15">
      <c r="A130" s="25" t="s">
        <v>156</v>
      </c>
      <c r="B130" s="32" t="s">
        <v>237</v>
      </c>
      <c r="C130" s="21">
        <v>1</v>
      </c>
      <c r="D130" s="22" t="s">
        <v>3</v>
      </c>
      <c r="E130" s="23"/>
      <c r="F130" s="23">
        <f t="shared" ref="F130" si="15">+C130*E130</f>
        <v>0</v>
      </c>
      <c r="G130" s="24"/>
    </row>
    <row r="131" spans="1:7" ht="25.5" customHeight="1" x14ac:dyDescent="0.15">
      <c r="A131" s="25" t="s">
        <v>157</v>
      </c>
      <c r="B131" s="32" t="s">
        <v>235</v>
      </c>
      <c r="C131" s="21">
        <v>1</v>
      </c>
      <c r="D131" s="22" t="s">
        <v>3</v>
      </c>
      <c r="E131" s="23"/>
      <c r="F131" s="23">
        <f t="shared" si="14"/>
        <v>0</v>
      </c>
      <c r="G131" s="39"/>
    </row>
    <row r="132" spans="1:7" ht="25.5" customHeight="1" x14ac:dyDescent="0.15">
      <c r="A132" s="25" t="s">
        <v>158</v>
      </c>
      <c r="B132" s="32" t="s">
        <v>234</v>
      </c>
      <c r="C132" s="21">
        <v>1</v>
      </c>
      <c r="D132" s="22" t="s">
        <v>3</v>
      </c>
      <c r="E132" s="23"/>
      <c r="F132" s="23">
        <f t="shared" si="14"/>
        <v>0</v>
      </c>
      <c r="G132" s="39"/>
    </row>
    <row r="133" spans="1:7" ht="25.5" customHeight="1" x14ac:dyDescent="0.15">
      <c r="A133" s="25" t="s">
        <v>159</v>
      </c>
      <c r="B133" s="32" t="s">
        <v>236</v>
      </c>
      <c r="C133" s="21">
        <v>1</v>
      </c>
      <c r="D133" s="22" t="s">
        <v>3</v>
      </c>
      <c r="E133" s="23"/>
      <c r="F133" s="23">
        <f t="shared" si="14"/>
        <v>0</v>
      </c>
      <c r="G133" s="39"/>
    </row>
    <row r="134" spans="1:7" ht="25.5" customHeight="1" x14ac:dyDescent="0.15">
      <c r="A134" s="25" t="s">
        <v>160</v>
      </c>
      <c r="B134" s="20" t="s">
        <v>153</v>
      </c>
      <c r="C134" s="21">
        <v>1</v>
      </c>
      <c r="D134" s="22" t="s">
        <v>8</v>
      </c>
      <c r="E134" s="23"/>
      <c r="F134" s="23">
        <f t="shared" si="14"/>
        <v>0</v>
      </c>
      <c r="G134" s="39"/>
    </row>
    <row r="135" spans="1:7" ht="25.5" customHeight="1" x14ac:dyDescent="0.15">
      <c r="A135" s="25" t="s">
        <v>238</v>
      </c>
      <c r="B135" s="53" t="s">
        <v>154</v>
      </c>
      <c r="C135" s="54">
        <v>1</v>
      </c>
      <c r="D135" s="55" t="s">
        <v>8</v>
      </c>
      <c r="E135" s="23"/>
      <c r="F135" s="56">
        <f t="shared" si="14"/>
        <v>0</v>
      </c>
      <c r="G135" s="57"/>
    </row>
    <row r="136" spans="1:7" ht="25.5" customHeight="1" x14ac:dyDescent="0.15">
      <c r="A136" s="31">
        <f>+A129+0.1</f>
        <v>6.2</v>
      </c>
      <c r="B136" s="27" t="s">
        <v>34</v>
      </c>
      <c r="C136" s="21"/>
      <c r="D136" s="22"/>
      <c r="E136" s="23"/>
      <c r="F136" s="23">
        <f t="shared" si="14"/>
        <v>0</v>
      </c>
      <c r="G136" s="39"/>
    </row>
    <row r="137" spans="1:7" ht="39" customHeight="1" x14ac:dyDescent="0.15">
      <c r="A137" s="25" t="s">
        <v>165</v>
      </c>
      <c r="B137" s="20" t="s">
        <v>239</v>
      </c>
      <c r="C137" s="21">
        <v>5</v>
      </c>
      <c r="D137" s="22" t="s">
        <v>3</v>
      </c>
      <c r="E137" s="23"/>
      <c r="F137" s="23">
        <f>+C137*E137</f>
        <v>0</v>
      </c>
      <c r="G137" s="39"/>
    </row>
    <row r="138" spans="1:7" ht="25.5" customHeight="1" x14ac:dyDescent="0.15">
      <c r="A138" s="25" t="s">
        <v>166</v>
      </c>
      <c r="B138" s="20" t="s">
        <v>240</v>
      </c>
      <c r="C138" s="21">
        <v>5</v>
      </c>
      <c r="D138" s="22" t="s">
        <v>3</v>
      </c>
      <c r="E138" s="23"/>
      <c r="F138" s="23">
        <f>+C138*E138</f>
        <v>0</v>
      </c>
      <c r="G138" s="24"/>
    </row>
    <row r="139" spans="1:7" ht="25.5" customHeight="1" x14ac:dyDescent="0.15">
      <c r="A139" s="31">
        <f>+A136+0.1</f>
        <v>6.3</v>
      </c>
      <c r="B139" s="27" t="s">
        <v>31</v>
      </c>
      <c r="C139" s="21"/>
      <c r="D139" s="22"/>
      <c r="E139" s="23"/>
      <c r="F139" s="23">
        <f t="shared" si="14"/>
        <v>0</v>
      </c>
      <c r="G139" s="39"/>
    </row>
    <row r="140" spans="1:7" ht="25.5" customHeight="1" x14ac:dyDescent="0.15">
      <c r="A140" s="25" t="s">
        <v>167</v>
      </c>
      <c r="B140" s="20" t="s">
        <v>161</v>
      </c>
      <c r="C140" s="21">
        <v>2.76</v>
      </c>
      <c r="D140" s="22" t="s">
        <v>14</v>
      </c>
      <c r="E140" s="23"/>
      <c r="F140" s="23">
        <f t="shared" si="14"/>
        <v>0</v>
      </c>
      <c r="G140" s="39"/>
    </row>
    <row r="141" spans="1:7" ht="25.5" customHeight="1" x14ac:dyDescent="0.15">
      <c r="A141" s="25" t="s">
        <v>168</v>
      </c>
      <c r="B141" s="20" t="s">
        <v>33</v>
      </c>
      <c r="C141" s="21">
        <v>42.24</v>
      </c>
      <c r="D141" s="22" t="s">
        <v>14</v>
      </c>
      <c r="E141" s="23"/>
      <c r="F141" s="23">
        <f t="shared" si="14"/>
        <v>0</v>
      </c>
      <c r="G141" s="39"/>
    </row>
    <row r="142" spans="1:7" ht="25.5" customHeight="1" x14ac:dyDescent="0.15">
      <c r="A142" s="25" t="s">
        <v>169</v>
      </c>
      <c r="B142" s="20" t="s">
        <v>162</v>
      </c>
      <c r="C142" s="21">
        <v>1</v>
      </c>
      <c r="D142" s="22" t="s">
        <v>8</v>
      </c>
      <c r="E142" s="23"/>
      <c r="F142" s="23">
        <f t="shared" si="14"/>
        <v>0</v>
      </c>
      <c r="G142" s="39"/>
    </row>
    <row r="143" spans="1:7" ht="25.5" customHeight="1" x14ac:dyDescent="0.15">
      <c r="A143" s="25" t="s">
        <v>170</v>
      </c>
      <c r="B143" s="20" t="s">
        <v>163</v>
      </c>
      <c r="C143" s="21">
        <v>1</v>
      </c>
      <c r="D143" s="22" t="s">
        <v>8</v>
      </c>
      <c r="E143" s="23"/>
      <c r="F143" s="23">
        <f t="shared" si="14"/>
        <v>0</v>
      </c>
      <c r="G143" s="39"/>
    </row>
    <row r="144" spans="1:7" ht="25.5" customHeight="1" x14ac:dyDescent="0.15">
      <c r="A144" s="25" t="s">
        <v>171</v>
      </c>
      <c r="B144" s="20" t="s">
        <v>164</v>
      </c>
      <c r="C144" s="21">
        <v>1</v>
      </c>
      <c r="D144" s="22" t="s">
        <v>8</v>
      </c>
      <c r="E144" s="23"/>
      <c r="F144" s="23">
        <f t="shared" si="14"/>
        <v>0</v>
      </c>
      <c r="G144" s="39"/>
    </row>
    <row r="145" spans="1:7" ht="25.5" customHeight="1" x14ac:dyDescent="0.15">
      <c r="A145" s="25" t="s">
        <v>172</v>
      </c>
      <c r="B145" s="20" t="s">
        <v>32</v>
      </c>
      <c r="C145" s="21">
        <v>1</v>
      </c>
      <c r="D145" s="22" t="s">
        <v>8</v>
      </c>
      <c r="E145" s="23"/>
      <c r="F145" s="23">
        <f t="shared" si="14"/>
        <v>0</v>
      </c>
      <c r="G145" s="24"/>
    </row>
    <row r="146" spans="1:7" ht="25.5" customHeight="1" x14ac:dyDescent="0.15">
      <c r="A146" s="31">
        <f>+A139+0.1</f>
        <v>6.4</v>
      </c>
      <c r="B146" s="27" t="s">
        <v>219</v>
      </c>
      <c r="C146" s="21">
        <v>1</v>
      </c>
      <c r="D146" s="22" t="s">
        <v>8</v>
      </c>
      <c r="E146" s="23"/>
      <c r="F146" s="23">
        <f t="shared" ref="F146" si="16">+C146*E146</f>
        <v>0</v>
      </c>
      <c r="G146" s="24">
        <f>SUM(F131:F146)</f>
        <v>0</v>
      </c>
    </row>
    <row r="147" spans="1:7" ht="25.5" customHeight="1" thickBot="1" x14ac:dyDescent="0.2">
      <c r="A147" s="140"/>
      <c r="B147" s="141"/>
      <c r="C147" s="34"/>
      <c r="D147" s="35"/>
      <c r="E147" s="36"/>
      <c r="F147" s="36"/>
      <c r="G147" s="37"/>
    </row>
    <row r="148" spans="1:7" ht="25.5" customHeight="1" thickTop="1" x14ac:dyDescent="0.15">
      <c r="A148" s="142"/>
      <c r="B148" s="143"/>
      <c r="C148" s="135"/>
      <c r="D148" s="134"/>
      <c r="E148" s="64"/>
      <c r="F148" s="135"/>
      <c r="G148" s="136"/>
    </row>
    <row r="149" spans="1:7" ht="44.25" customHeight="1" x14ac:dyDescent="0.15">
      <c r="A149" s="26">
        <v>7</v>
      </c>
      <c r="B149" s="27" t="s">
        <v>173</v>
      </c>
      <c r="C149" s="47"/>
      <c r="D149" s="51"/>
      <c r="E149" s="23"/>
      <c r="F149" s="47"/>
      <c r="G149" s="48"/>
    </row>
    <row r="150" spans="1:7" ht="27" customHeight="1" x14ac:dyDescent="0.15">
      <c r="A150" s="25">
        <f>A149+0.1</f>
        <v>7.1</v>
      </c>
      <c r="B150" s="20" t="s">
        <v>174</v>
      </c>
      <c r="C150" s="47">
        <f>200*4</f>
        <v>800</v>
      </c>
      <c r="D150" s="69" t="s">
        <v>15</v>
      </c>
      <c r="E150" s="23"/>
      <c r="F150" s="23">
        <f t="shared" ref="F150:F153" si="17">+C150*E150</f>
        <v>0</v>
      </c>
      <c r="G150" s="48"/>
    </row>
    <row r="151" spans="1:7" ht="27" customHeight="1" x14ac:dyDescent="0.15">
      <c r="A151" s="25">
        <f>A150+0.1</f>
        <v>7.2</v>
      </c>
      <c r="B151" s="20" t="s">
        <v>176</v>
      </c>
      <c r="C151" s="47">
        <f>C152</f>
        <v>800</v>
      </c>
      <c r="D151" s="69" t="s">
        <v>15</v>
      </c>
      <c r="E151" s="23"/>
      <c r="F151" s="23">
        <f t="shared" si="17"/>
        <v>0</v>
      </c>
      <c r="G151" s="48"/>
    </row>
    <row r="152" spans="1:7" ht="27" customHeight="1" x14ac:dyDescent="0.15">
      <c r="A152" s="25">
        <f>A151+0.1</f>
        <v>7.3</v>
      </c>
      <c r="B152" s="20" t="s">
        <v>177</v>
      </c>
      <c r="C152" s="47">
        <f>C150</f>
        <v>800</v>
      </c>
      <c r="D152" s="69" t="s">
        <v>15</v>
      </c>
      <c r="E152" s="23"/>
      <c r="F152" s="23">
        <f t="shared" si="17"/>
        <v>0</v>
      </c>
      <c r="G152" s="48"/>
    </row>
    <row r="153" spans="1:7" ht="27" customHeight="1" x14ac:dyDescent="0.15">
      <c r="A153" s="25">
        <f>A152+0.1</f>
        <v>7.4</v>
      </c>
      <c r="B153" s="20" t="s">
        <v>175</v>
      </c>
      <c r="C153" s="47">
        <v>4</v>
      </c>
      <c r="D153" s="51" t="s">
        <v>3</v>
      </c>
      <c r="E153" s="23"/>
      <c r="F153" s="23">
        <f t="shared" si="17"/>
        <v>0</v>
      </c>
      <c r="G153" s="48">
        <f>SUM(F150:F153)</f>
        <v>0</v>
      </c>
    </row>
    <row r="154" spans="1:7" ht="42" customHeight="1" x14ac:dyDescent="0.15">
      <c r="A154" s="26">
        <v>8</v>
      </c>
      <c r="B154" s="27" t="s">
        <v>226</v>
      </c>
      <c r="C154" s="73"/>
      <c r="D154" s="73"/>
      <c r="E154" s="23"/>
      <c r="F154" s="73"/>
      <c r="G154" s="74"/>
    </row>
    <row r="155" spans="1:7" ht="27.75" customHeight="1" x14ac:dyDescent="0.15">
      <c r="A155" s="25">
        <f>A154+0.1</f>
        <v>8.1</v>
      </c>
      <c r="B155" s="58" t="s">
        <v>5</v>
      </c>
      <c r="C155" s="75"/>
      <c r="D155" s="69"/>
      <c r="E155" s="23"/>
      <c r="F155" s="75"/>
      <c r="G155" s="76"/>
    </row>
    <row r="156" spans="1:7" ht="27.75" customHeight="1" x14ac:dyDescent="0.15">
      <c r="A156" s="77" t="s">
        <v>197</v>
      </c>
      <c r="B156" s="72" t="s">
        <v>178</v>
      </c>
      <c r="C156" s="75">
        <v>1029.26</v>
      </c>
      <c r="D156" s="69" t="s">
        <v>6</v>
      </c>
      <c r="E156" s="23"/>
      <c r="F156" s="23">
        <f t="shared" ref="F156:F180" si="18">+C156*E156</f>
        <v>0</v>
      </c>
      <c r="G156" s="78"/>
    </row>
    <row r="157" spans="1:7" ht="27.75" customHeight="1" x14ac:dyDescent="0.15">
      <c r="A157" s="82">
        <f>+A155+0.1</f>
        <v>8.1999999999999993</v>
      </c>
      <c r="B157" s="58" t="s">
        <v>179</v>
      </c>
      <c r="C157" s="75"/>
      <c r="D157" s="69"/>
      <c r="E157" s="23"/>
      <c r="F157" s="23">
        <f t="shared" si="18"/>
        <v>0</v>
      </c>
      <c r="G157" s="76"/>
    </row>
    <row r="158" spans="1:7" ht="27.75" customHeight="1" x14ac:dyDescent="0.15">
      <c r="A158" s="77" t="s">
        <v>198</v>
      </c>
      <c r="B158" s="72" t="s">
        <v>180</v>
      </c>
      <c r="C158" s="75">
        <f>1.3*0.6*C156</f>
        <v>802.82</v>
      </c>
      <c r="D158" s="69" t="s">
        <v>7</v>
      </c>
      <c r="E158" s="23"/>
      <c r="F158" s="23">
        <f t="shared" si="18"/>
        <v>0</v>
      </c>
      <c r="G158" s="76"/>
    </row>
    <row r="159" spans="1:7" ht="27.75" customHeight="1" x14ac:dyDescent="0.15">
      <c r="A159" s="77" t="s">
        <v>199</v>
      </c>
      <c r="B159" s="72" t="s">
        <v>181</v>
      </c>
      <c r="C159" s="75">
        <f>+(C156*0.6*0.3)</f>
        <v>185.27</v>
      </c>
      <c r="D159" s="69" t="s">
        <v>7</v>
      </c>
      <c r="E159" s="23"/>
      <c r="F159" s="23">
        <f t="shared" si="18"/>
        <v>0</v>
      </c>
      <c r="G159" s="78"/>
    </row>
    <row r="160" spans="1:7" ht="27.75" customHeight="1" x14ac:dyDescent="0.15">
      <c r="A160" s="77" t="s">
        <v>200</v>
      </c>
      <c r="B160" s="72" t="s">
        <v>90</v>
      </c>
      <c r="C160" s="75">
        <f>+(C156*0.45*0.8)</f>
        <v>370.53</v>
      </c>
      <c r="D160" s="69" t="s">
        <v>7</v>
      </c>
      <c r="E160" s="23"/>
      <c r="F160" s="23">
        <f t="shared" si="18"/>
        <v>0</v>
      </c>
      <c r="G160" s="78"/>
    </row>
    <row r="161" spans="1:7" ht="27.75" customHeight="1" x14ac:dyDescent="0.15">
      <c r="A161" s="77" t="s">
        <v>201</v>
      </c>
      <c r="B161" s="59" t="s">
        <v>190</v>
      </c>
      <c r="C161" s="75">
        <f>+C160*0.13</f>
        <v>48.17</v>
      </c>
      <c r="D161" s="69" t="s">
        <v>7</v>
      </c>
      <c r="E161" s="23"/>
      <c r="F161" s="23">
        <f t="shared" si="18"/>
        <v>0</v>
      </c>
      <c r="G161" s="78"/>
    </row>
    <row r="162" spans="1:7" ht="27.75" customHeight="1" x14ac:dyDescent="0.15">
      <c r="A162" s="82">
        <f>+A157+0.1</f>
        <v>8.3000000000000007</v>
      </c>
      <c r="B162" s="58" t="s">
        <v>35</v>
      </c>
      <c r="C162" s="75"/>
      <c r="D162" s="69"/>
      <c r="E162" s="23"/>
      <c r="F162" s="75"/>
      <c r="G162" s="76"/>
    </row>
    <row r="163" spans="1:7" ht="27.75" customHeight="1" x14ac:dyDescent="0.15">
      <c r="A163" s="79" t="s">
        <v>202</v>
      </c>
      <c r="B163" s="72" t="s">
        <v>191</v>
      </c>
      <c r="C163" s="75">
        <f>+(C156*0.25*0.6)</f>
        <v>154.38999999999999</v>
      </c>
      <c r="D163" s="69" t="s">
        <v>7</v>
      </c>
      <c r="E163" s="23"/>
      <c r="F163" s="23">
        <f t="shared" si="18"/>
        <v>0</v>
      </c>
      <c r="G163" s="80"/>
    </row>
    <row r="164" spans="1:7" ht="27.75" customHeight="1" x14ac:dyDescent="0.15">
      <c r="A164" s="79" t="s">
        <v>203</v>
      </c>
      <c r="B164" s="72" t="s">
        <v>182</v>
      </c>
      <c r="C164" s="75">
        <f>+((C156/5.53)+1)*1*0.3</f>
        <v>56.14</v>
      </c>
      <c r="D164" s="69" t="s">
        <v>7</v>
      </c>
      <c r="E164" s="23"/>
      <c r="F164" s="23">
        <f t="shared" si="18"/>
        <v>0</v>
      </c>
      <c r="G164" s="78"/>
    </row>
    <row r="165" spans="1:7" ht="27.75" customHeight="1" x14ac:dyDescent="0.15">
      <c r="A165" s="79" t="s">
        <v>204</v>
      </c>
      <c r="B165" s="72" t="s">
        <v>183</v>
      </c>
      <c r="C165" s="75">
        <f>+((C156/5.53)+1)*(5.72*0.25*0.25)</f>
        <v>66.900000000000006</v>
      </c>
      <c r="D165" s="69" t="s">
        <v>7</v>
      </c>
      <c r="E165" s="23"/>
      <c r="F165" s="23">
        <f t="shared" si="18"/>
        <v>0</v>
      </c>
      <c r="G165" s="78"/>
    </row>
    <row r="166" spans="1:7" ht="27.75" customHeight="1" x14ac:dyDescent="0.15">
      <c r="A166" s="79" t="s">
        <v>205</v>
      </c>
      <c r="B166" s="72" t="s">
        <v>192</v>
      </c>
      <c r="C166" s="75">
        <f>+C156*0.3*0.15</f>
        <v>46.32</v>
      </c>
      <c r="D166" s="69" t="s">
        <v>7</v>
      </c>
      <c r="E166" s="23"/>
      <c r="F166" s="23">
        <f t="shared" si="18"/>
        <v>0</v>
      </c>
      <c r="G166" s="76"/>
    </row>
    <row r="167" spans="1:7" ht="27.75" customHeight="1" x14ac:dyDescent="0.15">
      <c r="A167" s="79" t="s">
        <v>206</v>
      </c>
      <c r="B167" s="72" t="s">
        <v>184</v>
      </c>
      <c r="C167" s="75">
        <f>+C156*0.25*0.3</f>
        <v>77.19</v>
      </c>
      <c r="D167" s="69" t="s">
        <v>7</v>
      </c>
      <c r="E167" s="23"/>
      <c r="F167" s="23">
        <f t="shared" si="18"/>
        <v>0</v>
      </c>
      <c r="G167" s="78"/>
    </row>
    <row r="168" spans="1:7" ht="27.75" customHeight="1" x14ac:dyDescent="0.15">
      <c r="A168" s="82">
        <f>+A162+0.1</f>
        <v>8.4</v>
      </c>
      <c r="B168" s="58" t="s">
        <v>193</v>
      </c>
      <c r="C168" s="75"/>
      <c r="D168" s="81"/>
      <c r="E168" s="23"/>
      <c r="F168" s="75"/>
      <c r="G168" s="78"/>
    </row>
    <row r="169" spans="1:7" ht="27.75" customHeight="1" x14ac:dyDescent="0.15">
      <c r="A169" s="79" t="s">
        <v>207</v>
      </c>
      <c r="B169" s="59" t="s">
        <v>194</v>
      </c>
      <c r="C169" s="75">
        <f>+C156*0.6</f>
        <v>617.55999999999995</v>
      </c>
      <c r="D169" s="81" t="s">
        <v>14</v>
      </c>
      <c r="E169" s="23"/>
      <c r="F169" s="23">
        <f t="shared" si="18"/>
        <v>0</v>
      </c>
      <c r="G169" s="78"/>
    </row>
    <row r="170" spans="1:7" ht="27.75" customHeight="1" x14ac:dyDescent="0.15">
      <c r="A170" s="79" t="s">
        <v>208</v>
      </c>
      <c r="B170" s="59" t="s">
        <v>195</v>
      </c>
      <c r="C170" s="75">
        <f>+C156*5.42</f>
        <v>5578.59</v>
      </c>
      <c r="D170" s="81" t="s">
        <v>14</v>
      </c>
      <c r="E170" s="23"/>
      <c r="F170" s="23">
        <f t="shared" si="18"/>
        <v>0</v>
      </c>
      <c r="G170" s="78"/>
    </row>
    <row r="171" spans="1:7" ht="27.75" customHeight="1" thickBot="1" x14ac:dyDescent="0.2">
      <c r="A171" s="149"/>
      <c r="B171" s="150"/>
      <c r="C171" s="151"/>
      <c r="D171" s="152"/>
      <c r="E171" s="36"/>
      <c r="F171" s="153"/>
      <c r="G171" s="154"/>
    </row>
    <row r="172" spans="1:7" ht="27.75" customHeight="1" thickTop="1" x14ac:dyDescent="0.15">
      <c r="A172" s="144"/>
      <c r="B172" s="145"/>
      <c r="C172" s="146"/>
      <c r="D172" s="147"/>
      <c r="E172" s="64"/>
      <c r="F172" s="132"/>
      <c r="G172" s="148"/>
    </row>
    <row r="173" spans="1:7" ht="27.75" customHeight="1" x14ac:dyDescent="0.15">
      <c r="A173" s="82">
        <f>+A168+0.1</f>
        <v>8.5</v>
      </c>
      <c r="B173" s="58" t="s">
        <v>185</v>
      </c>
      <c r="C173" s="75"/>
      <c r="D173" s="69"/>
      <c r="E173" s="23"/>
      <c r="F173" s="75"/>
      <c r="G173" s="76"/>
    </row>
    <row r="174" spans="1:7" ht="27.75" customHeight="1" x14ac:dyDescent="0.15">
      <c r="A174" s="77" t="s">
        <v>209</v>
      </c>
      <c r="B174" s="72" t="s">
        <v>186</v>
      </c>
      <c r="C174" s="75">
        <f>+((C156/5.53)+1)*0.25*2+(C156*0.55*2)</f>
        <v>1225.75</v>
      </c>
      <c r="D174" s="81" t="s">
        <v>14</v>
      </c>
      <c r="E174" s="23"/>
      <c r="F174" s="23">
        <f t="shared" si="18"/>
        <v>0</v>
      </c>
      <c r="G174" s="76"/>
    </row>
    <row r="175" spans="1:7" ht="27.75" customHeight="1" x14ac:dyDescent="0.15">
      <c r="A175" s="77" t="s">
        <v>210</v>
      </c>
      <c r="B175" s="72" t="s">
        <v>187</v>
      </c>
      <c r="C175" s="75">
        <f>+C174</f>
        <v>1225.75</v>
      </c>
      <c r="D175" s="81" t="s">
        <v>14</v>
      </c>
      <c r="E175" s="23"/>
      <c r="F175" s="23">
        <f t="shared" si="18"/>
        <v>0</v>
      </c>
      <c r="G175" s="78"/>
    </row>
    <row r="176" spans="1:7" ht="27.75" customHeight="1" x14ac:dyDescent="0.15">
      <c r="A176" s="77" t="s">
        <v>211</v>
      </c>
      <c r="B176" s="72" t="s">
        <v>11</v>
      </c>
      <c r="C176" s="75">
        <f>+((C156/5.53)+1)*5.72*4+(C156*2)</f>
        <v>6339.89</v>
      </c>
      <c r="D176" s="81" t="s">
        <v>6</v>
      </c>
      <c r="E176" s="23"/>
      <c r="F176" s="23">
        <f t="shared" si="18"/>
        <v>0</v>
      </c>
      <c r="G176" s="78"/>
    </row>
    <row r="177" spans="1:8" ht="27.75" customHeight="1" x14ac:dyDescent="0.15">
      <c r="A177" s="77" t="s">
        <v>212</v>
      </c>
      <c r="B177" s="59" t="s">
        <v>12</v>
      </c>
      <c r="C177" s="75">
        <f>+C170*2</f>
        <v>11157.18</v>
      </c>
      <c r="D177" s="81" t="s">
        <v>14</v>
      </c>
      <c r="E177" s="23"/>
      <c r="F177" s="23">
        <f t="shared" si="18"/>
        <v>0</v>
      </c>
      <c r="G177" s="78"/>
    </row>
    <row r="178" spans="1:8" ht="36" x14ac:dyDescent="0.15">
      <c r="A178" s="77" t="s">
        <v>213</v>
      </c>
      <c r="B178" s="72" t="s">
        <v>188</v>
      </c>
      <c r="C178" s="75">
        <f>+C156</f>
        <v>1029.26</v>
      </c>
      <c r="D178" s="81" t="s">
        <v>6</v>
      </c>
      <c r="E178" s="23"/>
      <c r="F178" s="23">
        <f t="shared" si="18"/>
        <v>0</v>
      </c>
      <c r="G178" s="78"/>
    </row>
    <row r="179" spans="1:8" ht="22.5" customHeight="1" x14ac:dyDescent="0.15">
      <c r="A179" s="82">
        <f>+A173+0.1</f>
        <v>8.6</v>
      </c>
      <c r="B179" s="58" t="s">
        <v>196</v>
      </c>
      <c r="C179" s="75">
        <v>1</v>
      </c>
      <c r="D179" s="81" t="s">
        <v>8</v>
      </c>
      <c r="E179" s="23"/>
      <c r="F179" s="23">
        <f t="shared" si="18"/>
        <v>0</v>
      </c>
      <c r="G179" s="78"/>
    </row>
    <row r="180" spans="1:8" ht="22.5" customHeight="1" x14ac:dyDescent="0.15">
      <c r="A180" s="82">
        <f>+A179+0.1</f>
        <v>8.6999999999999993</v>
      </c>
      <c r="B180" s="58" t="s">
        <v>189</v>
      </c>
      <c r="C180" s="75">
        <v>1</v>
      </c>
      <c r="D180" s="81" t="s">
        <v>8</v>
      </c>
      <c r="E180" s="23"/>
      <c r="F180" s="23">
        <f t="shared" si="18"/>
        <v>0</v>
      </c>
      <c r="G180" s="78">
        <f>SUM(F156:F180)</f>
        <v>0</v>
      </c>
    </row>
    <row r="181" spans="1:8" ht="22.5" customHeight="1" thickBot="1" x14ac:dyDescent="0.2">
      <c r="A181" s="25"/>
      <c r="B181" s="20"/>
      <c r="C181" s="21">
        <v>0</v>
      </c>
      <c r="D181" s="22"/>
      <c r="E181" s="23"/>
      <c r="F181" s="23">
        <f t="shared" ref="F181" si="19">+C181*E181</f>
        <v>0</v>
      </c>
      <c r="G181" s="24"/>
      <c r="H181" s="6">
        <f>SUM(F14:F180)</f>
        <v>0</v>
      </c>
    </row>
    <row r="182" spans="1:8" ht="19.5" thickTop="1" thickBot="1" x14ac:dyDescent="0.2">
      <c r="A182" s="8"/>
      <c r="B182" s="9" t="s">
        <v>16</v>
      </c>
      <c r="C182" s="10"/>
      <c r="D182" s="11"/>
      <c r="E182" s="12"/>
      <c r="F182" s="13"/>
      <c r="G182" s="16">
        <f>SUM(G57:G180)</f>
        <v>0</v>
      </c>
    </row>
    <row r="183" spans="1:8" ht="19.5" thickTop="1" thickBot="1" x14ac:dyDescent="0.2">
      <c r="A183" s="14"/>
      <c r="B183" s="9" t="s">
        <v>16</v>
      </c>
      <c r="C183" s="15"/>
      <c r="D183" s="15"/>
      <c r="E183" s="15"/>
      <c r="F183" s="15"/>
      <c r="G183" s="16">
        <f>+G182</f>
        <v>0</v>
      </c>
    </row>
    <row r="184" spans="1:8" ht="19.5" thickTop="1" x14ac:dyDescent="0.15">
      <c r="A184" s="101"/>
      <c r="B184" s="102"/>
      <c r="C184" s="103"/>
      <c r="D184" s="104"/>
      <c r="E184" s="103"/>
      <c r="F184" s="105"/>
      <c r="G184" s="106"/>
    </row>
    <row r="185" spans="1:8" ht="18.75" x14ac:dyDescent="0.15">
      <c r="A185" s="107"/>
      <c r="B185" s="108" t="s">
        <v>220</v>
      </c>
      <c r="C185" s="109">
        <v>7.0000000000000007E-2</v>
      </c>
      <c r="D185" s="97"/>
      <c r="E185" s="110"/>
      <c r="F185" s="111">
        <f>C185*G183</f>
        <v>0</v>
      </c>
      <c r="G185" s="112"/>
    </row>
    <row r="186" spans="1:8" ht="18.75" x14ac:dyDescent="0.15">
      <c r="A186" s="107"/>
      <c r="B186" s="108" t="s">
        <v>221</v>
      </c>
      <c r="C186" s="109">
        <v>0.02</v>
      </c>
      <c r="D186" s="97"/>
      <c r="E186" s="110"/>
      <c r="F186" s="111">
        <f>C186*G183</f>
        <v>0</v>
      </c>
      <c r="G186" s="112"/>
    </row>
    <row r="187" spans="1:8" ht="18.75" x14ac:dyDescent="0.15">
      <c r="A187" s="107"/>
      <c r="B187" s="108" t="s">
        <v>222</v>
      </c>
      <c r="C187" s="109">
        <v>0.02</v>
      </c>
      <c r="D187" s="97"/>
      <c r="E187" s="110"/>
      <c r="F187" s="111">
        <f>C187*G183</f>
        <v>0</v>
      </c>
      <c r="G187" s="112"/>
    </row>
    <row r="188" spans="1:8" ht="18.75" x14ac:dyDescent="0.15">
      <c r="A188" s="107"/>
      <c r="B188" s="108" t="s">
        <v>223</v>
      </c>
      <c r="C188" s="109">
        <v>0.02</v>
      </c>
      <c r="D188" s="97"/>
      <c r="E188" s="110"/>
      <c r="F188" s="111">
        <f>C188*G183</f>
        <v>0</v>
      </c>
      <c r="G188" s="112"/>
    </row>
    <row r="189" spans="1:8" ht="18.75" x14ac:dyDescent="0.15">
      <c r="A189" s="107"/>
      <c r="B189" s="108" t="s">
        <v>224</v>
      </c>
      <c r="C189" s="109">
        <v>0.01</v>
      </c>
      <c r="D189" s="97"/>
      <c r="E189" s="110"/>
      <c r="F189" s="111">
        <f>C189*G183</f>
        <v>0</v>
      </c>
      <c r="G189" s="112"/>
    </row>
    <row r="190" spans="1:8" ht="18.75" x14ac:dyDescent="0.15">
      <c r="A190" s="107"/>
      <c r="B190" s="108" t="s">
        <v>225</v>
      </c>
      <c r="C190" s="109">
        <v>0.03</v>
      </c>
      <c r="D190" s="97"/>
      <c r="E190" s="110"/>
      <c r="F190" s="111">
        <f>C190*G183</f>
        <v>0</v>
      </c>
      <c r="G190" s="112"/>
    </row>
    <row r="191" spans="1:8" ht="19.5" thickBot="1" x14ac:dyDescent="0.2">
      <c r="A191" s="94"/>
      <c r="B191" s="95"/>
      <c r="C191" s="96"/>
      <c r="D191" s="97"/>
      <c r="E191" s="98"/>
      <c r="F191" s="99"/>
      <c r="G191" s="100"/>
    </row>
    <row r="192" spans="1:8" ht="19.5" thickTop="1" thickBot="1" x14ac:dyDescent="0.3">
      <c r="A192" s="113"/>
      <c r="B192" s="114" t="s">
        <v>4</v>
      </c>
      <c r="C192" s="115"/>
      <c r="D192" s="115"/>
      <c r="E192" s="116"/>
      <c r="F192" s="116"/>
      <c r="G192" s="117">
        <f>SUM(F185:F190)</f>
        <v>0</v>
      </c>
    </row>
    <row r="193" spans="1:7" ht="19.5" thickTop="1" thickBot="1" x14ac:dyDescent="0.3">
      <c r="A193" s="118"/>
      <c r="B193" s="119"/>
      <c r="C193" s="120"/>
      <c r="D193" s="121"/>
      <c r="E193" s="122"/>
      <c r="F193" s="122"/>
      <c r="G193" s="123"/>
    </row>
    <row r="194" spans="1:7" ht="19.5" thickTop="1" thickBot="1" x14ac:dyDescent="0.3">
      <c r="A194" s="113"/>
      <c r="B194" s="114" t="s">
        <v>23</v>
      </c>
      <c r="C194" s="124"/>
      <c r="D194" s="115"/>
      <c r="E194" s="116"/>
      <c r="F194" s="116"/>
      <c r="G194" s="117">
        <f>G192+G183</f>
        <v>0</v>
      </c>
    </row>
    <row r="195" spans="1:7" ht="18.75" thickTop="1" x14ac:dyDescent="0.25">
      <c r="A195" s="125"/>
      <c r="B195" s="126"/>
      <c r="C195" s="127"/>
      <c r="D195" s="128"/>
      <c r="E195" s="129"/>
      <c r="F195" s="129"/>
      <c r="G195" s="127"/>
    </row>
    <row r="196" spans="1:7" x14ac:dyDescent="0.25">
      <c r="A196" s="2"/>
      <c r="B196" s="83" t="s">
        <v>24</v>
      </c>
      <c r="C196" s="83"/>
      <c r="D196" s="83"/>
      <c r="E196" s="83" t="s">
        <v>214</v>
      </c>
      <c r="F196" s="84"/>
      <c r="G196" s="4"/>
    </row>
    <row r="197" spans="1:7" x14ac:dyDescent="0.25">
      <c r="A197" s="2"/>
      <c r="B197" s="2" t="s">
        <v>25</v>
      </c>
      <c r="C197" s="2"/>
      <c r="D197" s="2"/>
      <c r="E197" s="2" t="s">
        <v>25</v>
      </c>
      <c r="F197" s="84"/>
      <c r="G197" s="4"/>
    </row>
    <row r="198" spans="1:7" x14ac:dyDescent="0.25">
      <c r="A198" s="2"/>
      <c r="B198" s="3"/>
      <c r="C198" s="2"/>
      <c r="D198" s="2"/>
      <c r="E198" s="92"/>
      <c r="F198" s="84"/>
      <c r="G198" s="4"/>
    </row>
    <row r="199" spans="1:7" x14ac:dyDescent="0.25">
      <c r="A199" s="2"/>
      <c r="B199" s="2"/>
      <c r="C199" s="2"/>
      <c r="D199" s="2"/>
      <c r="E199" s="2"/>
      <c r="F199" s="84"/>
      <c r="G199" s="4"/>
    </row>
    <row r="200" spans="1:7" x14ac:dyDescent="0.25">
      <c r="A200" s="2"/>
      <c r="B200" s="2"/>
      <c r="C200" s="3"/>
      <c r="D200" s="2"/>
      <c r="E200" s="2"/>
      <c r="F200" s="84"/>
      <c r="G200" s="4"/>
    </row>
    <row r="201" spans="1:7" x14ac:dyDescent="0.25">
      <c r="A201" s="2"/>
      <c r="B201" s="2"/>
      <c r="C201" s="3"/>
      <c r="D201" s="2"/>
      <c r="E201" s="2"/>
      <c r="F201" s="84"/>
      <c r="G201" s="4"/>
    </row>
    <row r="202" spans="1:7" x14ac:dyDescent="0.25">
      <c r="A202" s="2"/>
      <c r="B202" s="2"/>
      <c r="C202" s="2"/>
      <c r="D202" s="2"/>
      <c r="E202" s="2"/>
      <c r="F202" s="84"/>
      <c r="G202" s="4"/>
    </row>
    <row r="203" spans="1:7" x14ac:dyDescent="0.25">
      <c r="A203" s="5"/>
      <c r="B203" s="85" t="s">
        <v>26</v>
      </c>
      <c r="C203" s="85"/>
      <c r="D203" s="85"/>
      <c r="E203" s="85" t="s">
        <v>27</v>
      </c>
      <c r="F203" s="84"/>
      <c r="G203" s="4"/>
    </row>
    <row r="204" spans="1:7" x14ac:dyDescent="0.25">
      <c r="A204" s="5"/>
      <c r="B204" s="2"/>
      <c r="C204" s="2"/>
      <c r="D204" s="2"/>
      <c r="E204" s="2"/>
      <c r="F204" s="84"/>
      <c r="G204" s="4"/>
    </row>
    <row r="205" spans="1:7" x14ac:dyDescent="0.25">
      <c r="A205" s="5"/>
      <c r="B205" s="86" t="s">
        <v>25</v>
      </c>
      <c r="C205" s="86"/>
      <c r="D205" s="86"/>
      <c r="E205" s="86" t="s">
        <v>25</v>
      </c>
      <c r="F205" s="84"/>
      <c r="G205" s="4"/>
    </row>
    <row r="206" spans="1:7" x14ac:dyDescent="0.25">
      <c r="A206" s="5"/>
      <c r="B206" s="87"/>
      <c r="C206" s="87"/>
      <c r="D206" s="87"/>
      <c r="E206" s="87"/>
      <c r="F206" s="84"/>
      <c r="G206" s="4"/>
    </row>
    <row r="207" spans="1:7" x14ac:dyDescent="0.25">
      <c r="A207" s="5"/>
      <c r="B207" s="86"/>
      <c r="C207" s="86"/>
      <c r="D207" s="86"/>
      <c r="E207" s="86"/>
      <c r="F207" s="84"/>
      <c r="G207" s="4"/>
    </row>
    <row r="208" spans="1:7" x14ac:dyDescent="0.15">
      <c r="A208" s="5"/>
      <c r="B208" s="88"/>
      <c r="C208" s="89"/>
      <c r="D208" s="90"/>
      <c r="E208" s="89"/>
      <c r="F208" s="91"/>
      <c r="G208" s="88"/>
    </row>
    <row r="209" spans="1:7" x14ac:dyDescent="0.15">
      <c r="A209" s="5"/>
      <c r="B209" s="88"/>
      <c r="C209" s="89"/>
      <c r="D209" s="90"/>
      <c r="E209" s="89"/>
      <c r="F209" s="91"/>
      <c r="G209" s="88"/>
    </row>
  </sheetData>
  <mergeCells count="7">
    <mergeCell ref="A9:G9"/>
    <mergeCell ref="A1:G1"/>
    <mergeCell ref="A2:G2"/>
    <mergeCell ref="A3:G3"/>
    <mergeCell ref="A6:G6"/>
    <mergeCell ref="A7:G7"/>
    <mergeCell ref="A8:G8"/>
  </mergeCells>
  <printOptions horizontalCentered="1"/>
  <pageMargins left="0.51181102362204722" right="0.51181102362204722" top="0.6692913385826772" bottom="0.94488188976377963" header="0.31496062992125984" footer="0.70866141732283472"/>
  <pageSetup scale="65" fitToHeight="11" orientation="portrait" horizontalDpi="4294967295" verticalDpi="300" r:id="rId1"/>
  <headerFooter alignWithMargins="0">
    <oddFooter>&amp;L&amp;9&amp;F&amp;Z&amp;R&amp;P de &amp;N</oddFooter>
  </headerFooter>
  <rowBreaks count="6" manualBreakCount="6">
    <brk id="47" max="6" man="1"/>
    <brk id="81" max="6" man="1"/>
    <brk id="116" max="6" man="1"/>
    <brk id="147" max="6" man="1"/>
    <brk id="171" max="6" man="1"/>
    <brk id="1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 </vt:lpstr>
      <vt:lpstr>'PRESUP '!Área_de_impresión</vt:lpstr>
      <vt:lpstr>'PRESUP '!Print_Area_MI</vt:lpstr>
      <vt:lpstr>'PRESUP '!Títulos_a_imprimir</vt:lpstr>
    </vt:vector>
  </TitlesOfParts>
  <Company>Checo &amp; Asociados, Ingenieros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Ml. Checo</dc:creator>
  <cp:lastModifiedBy>Patricia M. Ruiz De Los Santos</cp:lastModifiedBy>
  <cp:lastPrinted>2015-12-22T13:59:20Z</cp:lastPrinted>
  <dcterms:created xsi:type="dcterms:W3CDTF">1999-11-30T04:06:39Z</dcterms:created>
  <dcterms:modified xsi:type="dcterms:W3CDTF">2015-12-28T13:41:40Z</dcterms:modified>
</cp:coreProperties>
</file>