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/>
  </bookViews>
  <sheets>
    <sheet name="Resumen Lote 24" sheetId="1" r:id="rId1"/>
    <sheet name="A" sheetId="2" r:id="rId2"/>
    <sheet name="B" sheetId="3" r:id="rId3"/>
  </sheets>
  <calcPr calcId="144525"/>
</workbook>
</file>

<file path=xl/calcChain.xml><?xml version="1.0" encoding="utf-8"?>
<calcChain xmlns="http://schemas.openxmlformats.org/spreadsheetml/2006/main">
  <c r="G63" i="3" l="1"/>
  <c r="F63" i="3"/>
  <c r="F62" i="3"/>
  <c r="A62" i="3"/>
  <c r="A63" i="3" s="1"/>
  <c r="F59" i="3"/>
  <c r="F58" i="3"/>
  <c r="F57" i="3"/>
  <c r="G59" i="3" s="1"/>
  <c r="A57" i="3"/>
  <c r="A58" i="3" s="1"/>
  <c r="A59" i="3" s="1"/>
  <c r="G54" i="3"/>
  <c r="F54" i="3"/>
  <c r="A54" i="3"/>
  <c r="F51" i="3"/>
  <c r="F50" i="3"/>
  <c r="F49" i="3"/>
  <c r="F48" i="3"/>
  <c r="G51" i="3" s="1"/>
  <c r="A48" i="3"/>
  <c r="A49" i="3" s="1"/>
  <c r="A50" i="3" s="1"/>
  <c r="A51" i="3" s="1"/>
  <c r="F44" i="3"/>
  <c r="C41" i="3"/>
  <c r="C42" i="3" s="1"/>
  <c r="F40" i="3"/>
  <c r="A40" i="3"/>
  <c r="A41" i="3" s="1"/>
  <c r="A42" i="3" s="1"/>
  <c r="A43" i="3" s="1"/>
  <c r="A44" i="3" s="1"/>
  <c r="F33" i="3"/>
  <c r="F32" i="3"/>
  <c r="G33" i="3" s="1"/>
  <c r="A32" i="3"/>
  <c r="A33" i="3" s="1"/>
  <c r="G29" i="3"/>
  <c r="F29" i="3"/>
  <c r="F28" i="3"/>
  <c r="A28" i="3"/>
  <c r="A29" i="3" s="1"/>
  <c r="F27" i="3"/>
  <c r="A27" i="3"/>
  <c r="F24" i="3"/>
  <c r="G24" i="3" s="1"/>
  <c r="A24" i="3"/>
  <c r="G21" i="3"/>
  <c r="F21" i="3"/>
  <c r="F20" i="3"/>
  <c r="F19" i="3"/>
  <c r="F18" i="3"/>
  <c r="A18" i="3"/>
  <c r="A19" i="3" s="1"/>
  <c r="A20" i="3" s="1"/>
  <c r="A21" i="3" s="1"/>
  <c r="F15" i="3"/>
  <c r="C13" i="3"/>
  <c r="C14" i="3" s="1"/>
  <c r="F14" i="3" s="1"/>
  <c r="F12" i="3"/>
  <c r="C12" i="3"/>
  <c r="F11" i="3"/>
  <c r="A11" i="3"/>
  <c r="A12" i="3" s="1"/>
  <c r="A13" i="3" s="1"/>
  <c r="A14" i="3" s="1"/>
  <c r="A15" i="3" s="1"/>
  <c r="G144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A126" i="2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C102" i="2"/>
  <c r="C101" i="2"/>
  <c r="F101" i="2" s="1"/>
  <c r="F100" i="2"/>
  <c r="F99" i="2"/>
  <c r="F98" i="2"/>
  <c r="F97" i="2"/>
  <c r="F96" i="2"/>
  <c r="C96" i="2"/>
  <c r="C95" i="2"/>
  <c r="F95" i="2" s="1"/>
  <c r="F94" i="2"/>
  <c r="F93" i="2"/>
  <c r="F92" i="2"/>
  <c r="C92" i="2"/>
  <c r="F91" i="2"/>
  <c r="F90" i="2"/>
  <c r="F89" i="2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F86" i="2"/>
  <c r="F85" i="2"/>
  <c r="C85" i="2"/>
  <c r="F84" i="2"/>
  <c r="F83" i="2"/>
  <c r="F82" i="2"/>
  <c r="F81" i="2"/>
  <c r="A81" i="2"/>
  <c r="A82" i="2" s="1"/>
  <c r="A83" i="2" s="1"/>
  <c r="A84" i="2" s="1"/>
  <c r="A85" i="2" s="1"/>
  <c r="A86" i="2" s="1"/>
  <c r="F80" i="2"/>
  <c r="F79" i="2"/>
  <c r="F78" i="2"/>
  <c r="F77" i="2"/>
  <c r="F76" i="2"/>
  <c r="F75" i="2"/>
  <c r="F74" i="2"/>
  <c r="C73" i="2"/>
  <c r="F73" i="2" s="1"/>
  <c r="F72" i="2"/>
  <c r="A72" i="2"/>
  <c r="A73" i="2" s="1"/>
  <c r="A74" i="2" s="1"/>
  <c r="A75" i="2" s="1"/>
  <c r="A76" i="2" s="1"/>
  <c r="A77" i="2" s="1"/>
  <c r="A78" i="2" s="1"/>
  <c r="A79" i="2" s="1"/>
  <c r="A80" i="2" s="1"/>
  <c r="F69" i="2"/>
  <c r="F68" i="2"/>
  <c r="F67" i="2"/>
  <c r="F65" i="2"/>
  <c r="C65" i="2"/>
  <c r="C64" i="2"/>
  <c r="F64" i="2" s="1"/>
  <c r="F61" i="2"/>
  <c r="C61" i="2"/>
  <c r="F60" i="2"/>
  <c r="C60" i="2"/>
  <c r="C58" i="2"/>
  <c r="F58" i="2" s="1"/>
  <c r="C57" i="2"/>
  <c r="F57" i="2" s="1"/>
  <c r="C56" i="2"/>
  <c r="F56" i="2" s="1"/>
  <c r="C55" i="2"/>
  <c r="F55" i="2" s="1"/>
  <c r="C52" i="2"/>
  <c r="F52" i="2" s="1"/>
  <c r="F51" i="2"/>
  <c r="C51" i="2"/>
  <c r="C53" i="2" s="1"/>
  <c r="F53" i="2" s="1"/>
  <c r="F50" i="2"/>
  <c r="F49" i="2"/>
  <c r="A49" i="2"/>
  <c r="A50" i="2" s="1"/>
  <c r="A51" i="2" s="1"/>
  <c r="A52" i="2" s="1"/>
  <c r="A53" i="2" s="1"/>
  <c r="A54" i="2" s="1"/>
  <c r="A59" i="2" s="1"/>
  <c r="A62" i="2" s="1"/>
  <c r="A63" i="2" s="1"/>
  <c r="A64" i="2" s="1"/>
  <c r="A65" i="2" s="1"/>
  <c r="A66" i="2" s="1"/>
  <c r="A67" i="2" s="1"/>
  <c r="A68" i="2" s="1"/>
  <c r="A69" i="2" s="1"/>
  <c r="F46" i="2"/>
  <c r="F45" i="2"/>
  <c r="G46" i="2" s="1"/>
  <c r="A45" i="2"/>
  <c r="A46" i="2" s="1"/>
  <c r="F42" i="2"/>
  <c r="F41" i="2"/>
  <c r="F40" i="2"/>
  <c r="F39" i="2"/>
  <c r="F38" i="2"/>
  <c r="F37" i="2"/>
  <c r="F35" i="2"/>
  <c r="F34" i="2"/>
  <c r="F33" i="2"/>
  <c r="F32" i="2"/>
  <c r="G42" i="2" s="1"/>
  <c r="A32" i="2"/>
  <c r="A33" i="2" s="1"/>
  <c r="A34" i="2" s="1"/>
  <c r="A35" i="2" s="1"/>
  <c r="A36" i="2" s="1"/>
  <c r="A41" i="2" s="1"/>
  <c r="A42" i="2" s="1"/>
  <c r="C29" i="2"/>
  <c r="F29" i="2" s="1"/>
  <c r="F28" i="2"/>
  <c r="F27" i="2"/>
  <c r="C27" i="2"/>
  <c r="C26" i="2"/>
  <c r="F26" i="2" s="1"/>
  <c r="F25" i="2"/>
  <c r="C25" i="2"/>
  <c r="F24" i="2"/>
  <c r="C24" i="2"/>
  <c r="F23" i="2"/>
  <c r="C23" i="2"/>
  <c r="F22" i="2"/>
  <c r="C22" i="2"/>
  <c r="C19" i="2"/>
  <c r="F19" i="2" s="1"/>
  <c r="C18" i="2"/>
  <c r="F18" i="2" s="1"/>
  <c r="F16" i="2"/>
  <c r="C16" i="2"/>
  <c r="A16" i="2"/>
  <c r="A17" i="2" s="1"/>
  <c r="A21" i="2" s="1"/>
  <c r="A26" i="2" s="1"/>
  <c r="A27" i="2" s="1"/>
  <c r="A28" i="2" s="1"/>
  <c r="A29" i="2" s="1"/>
  <c r="F13" i="2"/>
  <c r="F12" i="2"/>
  <c r="C12" i="2"/>
  <c r="C11" i="2"/>
  <c r="F11" i="2" s="1"/>
  <c r="F10" i="2"/>
  <c r="C10" i="2"/>
  <c r="F9" i="2"/>
  <c r="F8" i="2"/>
  <c r="G13" i="2" s="1"/>
  <c r="A8" i="2"/>
  <c r="A9" i="2" s="1"/>
  <c r="A10" i="2" s="1"/>
  <c r="A11" i="2" s="1"/>
  <c r="A12" i="2" s="1"/>
  <c r="A13" i="2" s="1"/>
  <c r="F42" i="3" l="1"/>
  <c r="C43" i="3"/>
  <c r="F43" i="3" s="1"/>
  <c r="F13" i="3"/>
  <c r="G15" i="3" s="1"/>
  <c r="G35" i="3" s="1"/>
  <c r="F41" i="3"/>
  <c r="G44" i="3" s="1"/>
  <c r="G65" i="3" s="1"/>
  <c r="G123" i="2"/>
  <c r="G86" i="2"/>
  <c r="C20" i="2"/>
  <c r="F20" i="2" s="1"/>
  <c r="G29" i="2" s="1"/>
  <c r="C63" i="2"/>
  <c r="F63" i="2" s="1"/>
  <c r="C62" i="2"/>
  <c r="G66" i="3" l="1"/>
  <c r="F62" i="2"/>
  <c r="C66" i="2"/>
  <c r="F66" i="2" s="1"/>
  <c r="F71" i="3" l="1"/>
  <c r="F70" i="3"/>
  <c r="G81" i="3"/>
  <c r="F73" i="3"/>
  <c r="F69" i="3"/>
  <c r="F72" i="3"/>
  <c r="F68" i="3"/>
  <c r="G69" i="2"/>
  <c r="G146" i="2" s="1"/>
  <c r="G147" i="2" s="1"/>
  <c r="G75" i="3" l="1"/>
  <c r="F152" i="2"/>
  <c r="F151" i="2"/>
  <c r="G162" i="2"/>
  <c r="F154" i="2"/>
  <c r="F150" i="2"/>
  <c r="F153" i="2"/>
  <c r="F149" i="2"/>
  <c r="G156" i="2" s="1"/>
  <c r="G77" i="3" l="1"/>
  <c r="G79" i="3"/>
  <c r="G83" i="3" s="1"/>
  <c r="G158" i="2"/>
  <c r="G164" i="2" s="1"/>
  <c r="G166" i="2" s="1"/>
  <c r="G160" i="2"/>
  <c r="G85" i="3" l="1"/>
</calcChain>
</file>

<file path=xl/sharedStrings.xml><?xml version="1.0" encoding="utf-8"?>
<sst xmlns="http://schemas.openxmlformats.org/spreadsheetml/2006/main" count="406" uniqueCount="244">
  <si>
    <t>A</t>
  </si>
  <si>
    <t>Rehabilitación pozo sectorial Mata Vaca, Guerra</t>
  </si>
  <si>
    <t>B</t>
  </si>
  <si>
    <t>Reparación de fugas visibles en los campos de pozos La Joya y Los Marenos (segunda etapa)</t>
  </si>
  <si>
    <t xml:space="preserve">CORPORACIÓN DEL ACUEDUCTO Y ALCANTARILLADO DE SANTO DOMINGO </t>
  </si>
  <si>
    <t>* * *  C. A. A. S. D.  * * *</t>
  </si>
  <si>
    <t xml:space="preserve">  REHABILITACION POZO SECTORIAL MATA VACA, GUERRA</t>
  </si>
  <si>
    <t>No.</t>
  </si>
  <si>
    <t>DESCRIPCION</t>
  </si>
  <si>
    <t>CANTIDAD</t>
  </si>
  <si>
    <t>UD</t>
  </si>
  <si>
    <t>PRECIO</t>
  </si>
  <si>
    <t>COSTO RD$</t>
  </si>
  <si>
    <t>SUB TOTAL RD$</t>
  </si>
  <si>
    <t>Trabajos Preliminares:</t>
  </si>
  <si>
    <t>Limpieza preliminar</t>
  </si>
  <si>
    <t>pa</t>
  </si>
  <si>
    <t>Desmantelar verja de malla ciclónica existente</t>
  </si>
  <si>
    <t>Relleno de mina en toda el área (e=0.40 mt.)</t>
  </si>
  <si>
    <t>m3</t>
  </si>
  <si>
    <t>Compactación de relleno con maquito</t>
  </si>
  <si>
    <t>Relleno de gravilla para embellecimiento</t>
  </si>
  <si>
    <t>Bote de escombros</t>
  </si>
  <si>
    <t>Verja perimetral:</t>
  </si>
  <si>
    <t>Replanteo</t>
  </si>
  <si>
    <t>ml</t>
  </si>
  <si>
    <t>Movimiento de tierra:</t>
  </si>
  <si>
    <t>2.2.1</t>
  </si>
  <si>
    <t>Excavación con retroexcavadora para zapata de muros y columnas</t>
  </si>
  <si>
    <t>2.2.2</t>
  </si>
  <si>
    <t>Relleno de reposición</t>
  </si>
  <si>
    <t>2.2.3</t>
  </si>
  <si>
    <t>Bote de material sobrante (a 10 Km)</t>
  </si>
  <si>
    <t>Hormigón armado en:</t>
  </si>
  <si>
    <t>2.3.1</t>
  </si>
  <si>
    <t>Zapata de muros</t>
  </si>
  <si>
    <t>2.3.2</t>
  </si>
  <si>
    <t>Zapata de columnas</t>
  </si>
  <si>
    <t>2.3.3</t>
  </si>
  <si>
    <t>Columnas</t>
  </si>
  <si>
    <t>2.3.4</t>
  </si>
  <si>
    <t>Viga de coronación</t>
  </si>
  <si>
    <t>Muro de bloques de 0.15 mts violinados</t>
  </si>
  <si>
    <t>m2</t>
  </si>
  <si>
    <t xml:space="preserve">Pintura acrílica </t>
  </si>
  <si>
    <t>Puerta de tola corrediza con puerta peatonal integrada</t>
  </si>
  <si>
    <t>uds</t>
  </si>
  <si>
    <t>Alambre tipo trinchera</t>
  </si>
  <si>
    <t>Acondicionamiento De Tanque Elevado En H.A.</t>
  </si>
  <si>
    <t xml:space="preserve">Limpieza y Acondicionamiento de Tanque Por dentro y Por Fuera (2 hombres/dia)                             </t>
  </si>
  <si>
    <t>DIAS</t>
  </si>
  <si>
    <t>Limpieza del Tanque con Agua a Presión por dentro antes de iniciar el trabajo de  pintura</t>
  </si>
  <si>
    <t>PA</t>
  </si>
  <si>
    <t>Resane De Superficies, Con Grout De Alta Resistencia:</t>
  </si>
  <si>
    <t>M2</t>
  </si>
  <si>
    <t>Aplicación De Impermeabilizante Cementicio Aquafin En Toda La Superficie Interior</t>
  </si>
  <si>
    <t>Pintura :</t>
  </si>
  <si>
    <t>3.5.1</t>
  </si>
  <si>
    <t>Vigas ( 0.5x0.40x4.50)</t>
  </si>
  <si>
    <t>3.5.2</t>
  </si>
  <si>
    <t>Columnas (0.40x0.40x7.90)</t>
  </si>
  <si>
    <t>3.5.3</t>
  </si>
  <si>
    <t>Tanque (6X4.60)</t>
  </si>
  <si>
    <t>3.5.4</t>
  </si>
  <si>
    <t>Logo CAASD ( Presentar Factura )</t>
  </si>
  <si>
    <t>Alquiler de Andamios ( Incluye Instalacion)</t>
  </si>
  <si>
    <t>Limpieza final</t>
  </si>
  <si>
    <t>Pozo:</t>
  </si>
  <si>
    <t>Limpieza y desarrollo por pistoneo</t>
  </si>
  <si>
    <t>ud</t>
  </si>
  <si>
    <t>Aforo de Pozo</t>
  </si>
  <si>
    <t xml:space="preserve">Caseta combinada para Cloración y paneles eléctricos </t>
  </si>
  <si>
    <t>Demolición de caseta existente</t>
  </si>
  <si>
    <t>Excavación</t>
  </si>
  <si>
    <t>Bote de material sobrante</t>
  </si>
  <si>
    <t>5.6.1</t>
  </si>
  <si>
    <t>Zapata de muros de bloques</t>
  </si>
  <si>
    <t>5.6.2</t>
  </si>
  <si>
    <t>Losa de piso (frotada)</t>
  </si>
  <si>
    <t>5.6.3</t>
  </si>
  <si>
    <t>Viga de amarre de piso y de techo</t>
  </si>
  <si>
    <t>5.6.4</t>
  </si>
  <si>
    <t>Losa de techo</t>
  </si>
  <si>
    <t>Muros de bloques de:</t>
  </si>
  <si>
    <t>5.7.1</t>
  </si>
  <si>
    <t>0.15 mt.</t>
  </si>
  <si>
    <t>5.7.2</t>
  </si>
  <si>
    <t>Calados tipo ventana</t>
  </si>
  <si>
    <t>Pañete</t>
  </si>
  <si>
    <t>Fraguache</t>
  </si>
  <si>
    <t>Cantos</t>
  </si>
  <si>
    <t>Fino de techo</t>
  </si>
  <si>
    <t>Pintura acrílica</t>
  </si>
  <si>
    <t>Puertas tipo everdoor</t>
  </si>
  <si>
    <t>Electrificacion</t>
  </si>
  <si>
    <t>Electrificación a media tensión 12.47 KV</t>
  </si>
  <si>
    <t>Poste HAP-40' con hueco para aterrizaje de linea, 500/800 DAN</t>
  </si>
  <si>
    <t>Alambre AAAC#1/0</t>
  </si>
  <si>
    <t>PL</t>
  </si>
  <si>
    <t>Transporte de poste</t>
  </si>
  <si>
    <t>VIAJE</t>
  </si>
  <si>
    <t>Hoyos para postes y vientos</t>
  </si>
  <si>
    <t>Izado de postes</t>
  </si>
  <si>
    <t>Estructura MT-301 (C1)</t>
  </si>
  <si>
    <t>MT-302 (C2)</t>
  </si>
  <si>
    <t>MT-307-(C6)</t>
  </si>
  <si>
    <t>HA-100B</t>
  </si>
  <si>
    <t>PR-101</t>
  </si>
  <si>
    <t>PR-202</t>
  </si>
  <si>
    <t>SS-1</t>
  </si>
  <si>
    <t>MT-316 (C7)</t>
  </si>
  <si>
    <t>Excavacion de 1.20 x .60 x 20mt</t>
  </si>
  <si>
    <t>MT3</t>
  </si>
  <si>
    <t>Mano de obra</t>
  </si>
  <si>
    <t>Electrificación Pozo</t>
  </si>
  <si>
    <t>Suministro de apartarrayo para 9 kv</t>
  </si>
  <si>
    <t>Suministro de cut out de 100 kv</t>
  </si>
  <si>
    <t>Suministro de fusible tipo cinta de 15 amp</t>
  </si>
  <si>
    <t>Suministro de cable urd no. 2 al 33%</t>
  </si>
  <si>
    <t>Pies</t>
  </si>
  <si>
    <t>Suministro de cono de alivio de exterior con sus terminales</t>
  </si>
  <si>
    <t>Suministro de elbow conector de interior para urd no. 2.</t>
  </si>
  <si>
    <t>Suministro de cable thw, awg 6</t>
  </si>
  <si>
    <t>Terminales de ojo 6</t>
  </si>
  <si>
    <t>Suministro de transformador pad mounted de 45 kva, 12,470/277- 460 v trifasico</t>
  </si>
  <si>
    <t>Suministro de panel de control para arranque directo a linea, motor electrico de 25 hp, 460 v trifasico, 3,450 rpm, sf 1.15, incluye submonitor Franklin Electric</t>
  </si>
  <si>
    <t>Suministro de transformador seco de 1000 va, 480/120-240 v.</t>
  </si>
  <si>
    <t>Suministro banco capacitores p/motor 25 hp a 460 v y transf. 45 kva, inc. Materiales de instalacion</t>
  </si>
  <si>
    <t xml:space="preserve">Suministro de cable sumergible de 4 hilos calibre No. 6, tipo karla </t>
  </si>
  <si>
    <t xml:space="preserve">Suministro de cable sumergible de 3 hilos calibre No. 14, tipo karla </t>
  </si>
  <si>
    <t>Control de nivel Warrick 460 V, incluye electrodos</t>
  </si>
  <si>
    <t>Conector tipo manga (a compresión) No. 4</t>
  </si>
  <si>
    <t>Cable desnudo para tierra no. 2</t>
  </si>
  <si>
    <t>Suministro tapes de goma</t>
  </si>
  <si>
    <t>Suministro tapes de vinil</t>
  </si>
  <si>
    <t>Varilla de tierra  de 6 pies con su conector</t>
  </si>
  <si>
    <t>Suministro de tuberia liquid-tight de 2 plg</t>
  </si>
  <si>
    <t>Terminal recto para tuberia liquid-tight de 2  plg</t>
  </si>
  <si>
    <t>Uds</t>
  </si>
  <si>
    <t>Terminal curvo para tuberia liquid-tight de 2  plg</t>
  </si>
  <si>
    <t>Suministro de tuberia imc de 2 plgx10'</t>
  </si>
  <si>
    <t>Suministro de cable de acero de 1/2 plg con forro plastico, incluye grilletes</t>
  </si>
  <si>
    <t>Pies.</t>
  </si>
  <si>
    <t>Suministro de tubo electrico pvc de 3 plg</t>
  </si>
  <si>
    <t>Suministro de cupling pvc macho-hembra de 3 plg</t>
  </si>
  <si>
    <t>Suministro de curvas para pvc de 3 plg</t>
  </si>
  <si>
    <t xml:space="preserve">Suministro de cemento pvc  </t>
  </si>
  <si>
    <t>Suministro de condulet de 3 plg</t>
  </si>
  <si>
    <t>Suministro de alambre con forro de vinil, dos hilos awg no. 12.</t>
  </si>
  <si>
    <t>Suministro de lampara tipo cobra de 250 wat, 220 v., con bombilla de sodio, brazo para instalacion y fotocelda.</t>
  </si>
  <si>
    <t>Ud.</t>
  </si>
  <si>
    <t>Poste ha, 300 dan, 30'</t>
  </si>
  <si>
    <t>Hoyo p/poste</t>
  </si>
  <si>
    <t>Mano de obra para instalacion electrica.</t>
  </si>
  <si>
    <t>DESCARGA EQUIPO DE BOMBEO</t>
  </si>
  <si>
    <t xml:space="preserve">Electrobomba sumergible de 220 gpm, contra 200' de TDH, acoplada a motor Franklin Electric de 25 HP, 460 V, trifasico, 3,450 RPM y SF= 1.15 </t>
  </si>
  <si>
    <t>Medidor de caudal 4"</t>
  </si>
  <si>
    <t>Válvula vástago estacionario de 4", hf, platillo, 150 psi, volanta</t>
  </si>
  <si>
    <t>Válvula vastago estacionario de 3 Plg</t>
  </si>
  <si>
    <t>Válvula de retención horizontal (check y sostenedora de presión) 4", platillo, 150 psi</t>
  </si>
  <si>
    <t>Tubería hn 4"x20'</t>
  </si>
  <si>
    <t>Tee de 4 x 3 en hf</t>
  </si>
  <si>
    <t>Platillo 4"</t>
  </si>
  <si>
    <t>Platillo 3"</t>
  </si>
  <si>
    <t>Junta de goma p/4"</t>
  </si>
  <si>
    <t>Junta de goma p/3"</t>
  </si>
  <si>
    <t>Cabezal cuello de ganzo de 4 x16 Plg</t>
  </si>
  <si>
    <t>Junta dresser de 4 plg</t>
  </si>
  <si>
    <t>Manometro sumergido en glicerina de 0-100 PSI</t>
  </si>
  <si>
    <t>Instalación completa ventosa 1" (Incluye: 4 nipler roscado 1x3"; 1llave de bola de 1"; tee de 1"; válvula de aire 1"; nipler 1x2"; codo de 1"; reducción bushing 1" a 1/2"; 2 nipler de 1/2" x 2"; tee de 1/2"; reducción bushing de 1/2" a 3/8"; llave de chorro de 1/2").</t>
  </si>
  <si>
    <t>Zeta de 4' x 2' en hf soldada</t>
  </si>
  <si>
    <r>
      <t>Inductor de flujo de 6</t>
    </r>
    <r>
      <rPr>
        <sz val="12"/>
        <rFont val="Calibri"/>
        <family val="2"/>
      </rPr>
      <t>"</t>
    </r>
  </si>
  <si>
    <t>Uso grúa</t>
  </si>
  <si>
    <t xml:space="preserve">SUB-TOTAL 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</si>
  <si>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</si>
  <si>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</si>
  <si>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</si>
  <si>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</si>
  <si>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</si>
  <si>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</si>
  <si>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</si>
  <si>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</si>
  <si>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</si>
  <si>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</si>
  <si>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</si>
  <si>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IMPREVISTOS</t>
  </si>
  <si>
    <t>TOTAL GENERAL A CONTRATAR</t>
  </si>
  <si>
    <t>Sometido por :</t>
  </si>
  <si>
    <t>Revisado por:</t>
  </si>
  <si>
    <t>___________________________</t>
  </si>
  <si>
    <t>CORPORACION DEL ACUEDUCTO Y ALCANTARILLADO DE SANTO DOMINGO</t>
  </si>
  <si>
    <t>* * * C. A. A. S. D. * * *</t>
  </si>
  <si>
    <t xml:space="preserve">                     PRESUPUESTO: REPARACION DE FUGAS VISIBLES EN LOS CAMPOS DE POZOS LA JOYA Y LOS MARENOS (SEGUNDA ETAPA)</t>
  </si>
  <si>
    <t>SANTO DOMINGO ESTE</t>
  </si>
  <si>
    <t>PARTIDAS</t>
  </si>
  <si>
    <t>CANT.</t>
  </si>
  <si>
    <t>P. U.</t>
  </si>
  <si>
    <t>COSTO</t>
  </si>
  <si>
    <t>SUB-TOTAL</t>
  </si>
  <si>
    <t xml:space="preserve">FASE A </t>
  </si>
  <si>
    <t>REPARACION DE 20 FUGAS CAMPOS DE POZOS LA JOYA EN LINEA DE 42" PULGADAS</t>
  </si>
  <si>
    <t>Movimiento de Tierra:</t>
  </si>
  <si>
    <t>Excavación con Retro Exc. Caterpillar-235</t>
  </si>
  <si>
    <t>HRS</t>
  </si>
  <si>
    <t>Bote de material excavado</t>
  </si>
  <si>
    <t>M3</t>
  </si>
  <si>
    <t>Sum. Material relleno (Caliche)</t>
  </si>
  <si>
    <t>Relleno Compactado con Maquito</t>
  </si>
  <si>
    <t>Traslados de Retro ( de 0 a 15 Klm)</t>
  </si>
  <si>
    <t>Viaje</t>
  </si>
  <si>
    <t>Estabilización de suelo:</t>
  </si>
  <si>
    <t xml:space="preserve"> </t>
  </si>
  <si>
    <t>Suministro de Sacos de Protec.(Cubicar Desglosado)</t>
  </si>
  <si>
    <t>Uds.</t>
  </si>
  <si>
    <t>Suministro y coloc. Arena Itabo .(Cubicar Desglosado)</t>
  </si>
  <si>
    <t>Suministro y Coloc. Cemento Gris .(Cubicar Desglosado)</t>
  </si>
  <si>
    <t>Fdas.</t>
  </si>
  <si>
    <t>Estibación Sacos en Zanjas .(Cubicar Desglosado)</t>
  </si>
  <si>
    <t>Suministro de Materiales:</t>
  </si>
  <si>
    <t>Suministro e Instalación Junta Mecánica Ø42"</t>
  </si>
  <si>
    <t>Otros:</t>
  </si>
  <si>
    <t>Señalización y Manejo del Tránsito</t>
  </si>
  <si>
    <t>P. A.</t>
  </si>
  <si>
    <t>Alquiler de Bombas de Achique Ø4"  (dos Uds)</t>
  </si>
  <si>
    <t>Días</t>
  </si>
  <si>
    <t>Alquiler pala mecánica 950B- CAT para tapado y cierre de desvíos y desagües</t>
  </si>
  <si>
    <t>Limpieza Final:</t>
  </si>
  <si>
    <t>Eliminación de Desvíos y Desagües</t>
  </si>
  <si>
    <t>Reposición de Empalizadas</t>
  </si>
  <si>
    <t>SUB-TOTAL FASE A</t>
  </si>
  <si>
    <t xml:space="preserve">FASE B </t>
  </si>
  <si>
    <t>REPARACION DE 10 FUGAS CAMPOS DE POZOS LOS MARENOS EN LINEA DE 30" PULGADAS</t>
  </si>
  <si>
    <t>Relleno Compactado</t>
  </si>
  <si>
    <t>Suministro e Instalación Junta Mecánica Ø30"</t>
  </si>
  <si>
    <t>SUB-TOTAL FASE B</t>
  </si>
  <si>
    <t>SUB-TOTAL GENERAL (FASE A + FASEB)</t>
  </si>
  <si>
    <t xml:space="preserve">DIRECCION TECNICA </t>
  </si>
  <si>
    <t xml:space="preserve">GASTOS ADMINISTRATIVOS </t>
  </si>
  <si>
    <t xml:space="preserve">SEGURO Y FIANZAS </t>
  </si>
  <si>
    <t xml:space="preserve">TRANSPORTE </t>
  </si>
  <si>
    <t xml:space="preserve">LEY # 6/86 </t>
  </si>
  <si>
    <t xml:space="preserve">SUPERVISION </t>
  </si>
  <si>
    <t xml:space="preserve">           Preparado por:</t>
  </si>
  <si>
    <t xml:space="preserve">      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</si>
</sst>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8" formatCode="_(* #,##0.00_);_(* \(#,##0.00\);_(* &quot;-&quot;??_);_(@_)"/>
    <numFmt numFmtId="169" formatCode="0.0"/>
    <numFmt numFmtId="170" formatCode="0.00_)"/>
    <numFmt numFmtId="171" formatCode="0_)"/>
    <numFmt numFmtId="172" formatCode="0.0_)"/>
    <numFmt numFmtId="173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4" tint="-0.249977111117893"/>
      <name val="Arial"/>
      <family val="2"/>
    </font>
    <font>
      <sz val="12"/>
      <color rgb="FF92D050"/>
      <name val="Arial"/>
      <family val="2"/>
    </font>
    <font>
      <sz val="12"/>
      <color theme="1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b/>
      <sz val="14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6" fillId="0" borderId="0"/>
    <xf numFmtId="9" fontId="5" fillId="0" borderId="0" applyFont="0" applyFill="0" applyBorder="0" applyAlignment="0" applyProtection="0"/>
  </cellStyleXfs>
  <cellXfs count="2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quotePrefix="1" applyFont="1" applyAlignment="1" applyProtection="1">
      <alignment horizontal="center" vertical="center" wrapText="1"/>
    </xf>
    <xf numFmtId="43" fontId="4" fillId="0" borderId="0" xfId="1" quotePrefix="1" applyFont="1" applyAlignment="1" applyProtection="1">
      <alignment horizontal="center" vertical="center" wrapText="1"/>
    </xf>
    <xf numFmtId="169" fontId="4" fillId="4" borderId="2" xfId="0" applyNumberFormat="1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center" vertical="center"/>
    </xf>
    <xf numFmtId="168" fontId="4" fillId="4" borderId="3" xfId="3" applyFont="1" applyFill="1" applyBorder="1" applyAlignment="1" applyProtection="1">
      <alignment horizontal="center" vertical="center"/>
    </xf>
    <xf numFmtId="43" fontId="4" fillId="4" borderId="3" xfId="1" applyFont="1" applyFill="1" applyBorder="1" applyAlignment="1" applyProtection="1">
      <alignment horizontal="center" vertical="center"/>
    </xf>
    <xf numFmtId="43" fontId="4" fillId="4" borderId="4" xfId="1" applyFont="1" applyFill="1" applyBorder="1" applyAlignment="1" applyProtection="1">
      <alignment horizontal="center" vertical="center"/>
    </xf>
    <xf numFmtId="169" fontId="4" fillId="5" borderId="5" xfId="4" applyNumberFormat="1" applyFont="1" applyFill="1" applyBorder="1" applyAlignment="1" applyProtection="1">
      <alignment vertical="center" wrapText="1"/>
    </xf>
    <xf numFmtId="170" fontId="4" fillId="5" borderId="6" xfId="4" applyFont="1" applyFill="1" applyBorder="1" applyAlignment="1" applyProtection="1">
      <alignment horizontal="left" vertical="center" wrapText="1"/>
    </xf>
    <xf numFmtId="168" fontId="4" fillId="5" borderId="6" xfId="3" applyFont="1" applyFill="1" applyBorder="1" applyAlignment="1" applyProtection="1">
      <alignment horizontal="center" vertical="center" wrapText="1"/>
    </xf>
    <xf numFmtId="168" fontId="4" fillId="5" borderId="7" xfId="3" applyFont="1" applyFill="1" applyBorder="1" applyAlignment="1" applyProtection="1">
      <alignment horizontal="center" vertical="center" wrapText="1"/>
    </xf>
    <xf numFmtId="1" fontId="4" fillId="5" borderId="8" xfId="4" applyNumberFormat="1" applyFont="1" applyFill="1" applyBorder="1" applyAlignment="1" applyProtection="1">
      <alignment vertical="center" wrapText="1"/>
    </xf>
    <xf numFmtId="170" fontId="4" fillId="5" borderId="9" xfId="4" applyFont="1" applyFill="1" applyBorder="1" applyAlignment="1" applyProtection="1">
      <alignment horizontal="left" vertical="center" wrapText="1"/>
    </xf>
    <xf numFmtId="168" fontId="4" fillId="5" borderId="9" xfId="3" applyFont="1" applyFill="1" applyBorder="1" applyAlignment="1" applyProtection="1">
      <alignment horizontal="center" vertical="center" wrapText="1"/>
    </xf>
    <xf numFmtId="168" fontId="4" fillId="5" borderId="10" xfId="3" applyFont="1" applyFill="1" applyBorder="1" applyAlignment="1" applyProtection="1">
      <alignment horizontal="center" vertical="center" wrapText="1"/>
    </xf>
    <xf numFmtId="169" fontId="6" fillId="5" borderId="8" xfId="4" applyNumberFormat="1" applyFont="1" applyFill="1" applyBorder="1" applyAlignment="1" applyProtection="1">
      <alignment vertical="center" wrapText="1"/>
    </xf>
    <xf numFmtId="170" fontId="6" fillId="0" borderId="0" xfId="4" applyFont="1" applyAlignment="1">
      <alignment vertical="center"/>
    </xf>
    <xf numFmtId="168" fontId="6" fillId="0" borderId="9" xfId="3" applyFont="1" applyFill="1" applyBorder="1" applyAlignment="1" applyProtection="1">
      <alignment vertical="center" wrapText="1"/>
    </xf>
    <xf numFmtId="168" fontId="6" fillId="0" borderId="9" xfId="3" applyFont="1" applyFill="1" applyBorder="1" applyAlignment="1" applyProtection="1">
      <alignment horizontal="center" vertical="center" wrapText="1"/>
    </xf>
    <xf numFmtId="168" fontId="6" fillId="0" borderId="9" xfId="3" applyFont="1" applyBorder="1" applyAlignment="1" applyProtection="1">
      <alignment horizontal="right" vertical="center" wrapText="1"/>
    </xf>
    <xf numFmtId="169" fontId="6" fillId="0" borderId="9" xfId="4" applyNumberFormat="1" applyFont="1" applyFill="1" applyBorder="1" applyAlignment="1" applyProtection="1">
      <alignment horizontal="left" vertical="center" wrapText="1"/>
    </xf>
    <xf numFmtId="168" fontId="6" fillId="5" borderId="9" xfId="3" applyFont="1" applyFill="1" applyBorder="1" applyAlignment="1" applyProtection="1">
      <alignment horizontal="center" vertical="center" wrapText="1"/>
    </xf>
    <xf numFmtId="171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 applyProtection="1">
      <alignment vertical="center" wrapText="1"/>
    </xf>
    <xf numFmtId="168" fontId="4" fillId="5" borderId="11" xfId="3" applyFont="1" applyFill="1" applyBorder="1" applyAlignment="1" applyProtection="1">
      <alignment horizontal="center" vertical="center" wrapText="1"/>
    </xf>
    <xf numFmtId="168" fontId="4" fillId="0" borderId="11" xfId="3" applyFont="1" applyFill="1" applyBorder="1" applyAlignment="1" applyProtection="1">
      <alignment horizontal="center" vertical="center" wrapText="1"/>
    </xf>
    <xf numFmtId="168" fontId="4" fillId="5" borderId="12" xfId="3" applyFont="1" applyFill="1" applyBorder="1" applyAlignment="1" applyProtection="1">
      <alignment horizontal="center" vertical="center" wrapText="1"/>
    </xf>
    <xf numFmtId="172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vertical="center" wrapText="1"/>
    </xf>
    <xf numFmtId="168" fontId="6" fillId="5" borderId="11" xfId="3" applyFont="1" applyFill="1" applyBorder="1" applyAlignment="1" applyProtection="1">
      <alignment horizontal="center" vertical="center" wrapText="1"/>
    </xf>
    <xf numFmtId="168" fontId="6" fillId="0" borderId="11" xfId="3" applyFont="1" applyFill="1" applyBorder="1" applyAlignment="1" applyProtection="1">
      <alignment horizontal="center" vertical="center" wrapText="1"/>
    </xf>
    <xf numFmtId="168" fontId="6" fillId="0" borderId="9" xfId="3" applyFont="1" applyBorder="1" applyAlignment="1" applyProtection="1">
      <alignment horizontal="center" vertical="center" wrapText="1"/>
    </xf>
    <xf numFmtId="168" fontId="4" fillId="0" borderId="10" xfId="3" applyFont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168" fontId="6" fillId="0" borderId="9" xfId="3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vertical="center" wrapText="1"/>
    </xf>
    <xf numFmtId="168" fontId="6" fillId="0" borderId="11" xfId="3" applyFont="1" applyBorder="1" applyAlignment="1" applyProtection="1">
      <alignment horizontal="center" vertical="center" wrapText="1"/>
    </xf>
    <xf numFmtId="168" fontId="6" fillId="0" borderId="11" xfId="3" applyFont="1" applyFill="1" applyBorder="1" applyAlignment="1" applyProtection="1">
      <alignment vertical="center" wrapText="1"/>
    </xf>
    <xf numFmtId="168" fontId="6" fillId="0" borderId="11" xfId="3" applyFont="1" applyFill="1" applyBorder="1" applyAlignment="1" applyProtection="1">
      <alignment horizontal="right" vertical="center" wrapText="1"/>
    </xf>
    <xf numFmtId="168" fontId="4" fillId="0" borderId="12" xfId="3" applyFont="1" applyBorder="1" applyAlignment="1" applyProtection="1">
      <alignment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vertical="center" wrapText="1"/>
    </xf>
    <xf numFmtId="168" fontId="6" fillId="0" borderId="11" xfId="3" applyFont="1" applyBorder="1" applyAlignment="1" applyProtection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vertical="center" wrapText="1"/>
    </xf>
    <xf numFmtId="168" fontId="6" fillId="0" borderId="14" xfId="3" applyFont="1" applyBorder="1" applyAlignment="1" applyProtection="1">
      <alignment horizontal="right" vertical="center" wrapText="1"/>
    </xf>
    <xf numFmtId="168" fontId="6" fillId="0" borderId="14" xfId="3" applyFont="1" applyBorder="1" applyAlignment="1" applyProtection="1">
      <alignment horizontal="center" vertical="center" wrapText="1"/>
    </xf>
    <xf numFmtId="168" fontId="6" fillId="0" borderId="14" xfId="3" applyFont="1" applyFill="1" applyBorder="1" applyAlignment="1" applyProtection="1">
      <alignment vertical="center" wrapText="1"/>
    </xf>
    <xf numFmtId="168" fontId="6" fillId="0" borderId="14" xfId="3" applyFont="1" applyFill="1" applyBorder="1" applyAlignment="1" applyProtection="1">
      <alignment horizontal="right" vertical="center" wrapText="1"/>
    </xf>
    <xf numFmtId="168" fontId="4" fillId="0" borderId="15" xfId="3" applyFont="1" applyBorder="1" applyAlignment="1" applyProtection="1">
      <alignment vertical="center" wrapText="1"/>
    </xf>
    <xf numFmtId="171" fontId="4" fillId="0" borderId="16" xfId="0" applyNumberFormat="1" applyFont="1" applyBorder="1" applyAlignment="1">
      <alignment horizontal="right" vertical="center"/>
    </xf>
    <xf numFmtId="168" fontId="6" fillId="0" borderId="11" xfId="3" applyFont="1" applyBorder="1" applyAlignment="1" applyProtection="1">
      <alignment horizontal="right" vertical="center"/>
    </xf>
    <xf numFmtId="168" fontId="6" fillId="0" borderId="11" xfId="3" applyFont="1" applyBorder="1" applyAlignment="1" applyProtection="1">
      <alignment vertical="center"/>
    </xf>
    <xf numFmtId="168" fontId="4" fillId="0" borderId="12" xfId="3" applyFont="1" applyBorder="1" applyAlignment="1" applyProtection="1">
      <alignment vertical="center"/>
    </xf>
    <xf numFmtId="172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vertical="center"/>
    </xf>
    <xf numFmtId="168" fontId="6" fillId="0" borderId="9" xfId="3" applyFont="1" applyBorder="1" applyAlignment="1" applyProtection="1">
      <alignment horizontal="right" vertical="center"/>
    </xf>
    <xf numFmtId="168" fontId="6" fillId="0" borderId="9" xfId="3" applyFont="1" applyBorder="1" applyAlignment="1" applyProtection="1">
      <alignment horizontal="center" vertical="center"/>
    </xf>
    <xf numFmtId="168" fontId="6" fillId="0" borderId="9" xfId="3" applyFont="1" applyBorder="1" applyAlignment="1" applyProtection="1">
      <alignment vertical="center"/>
    </xf>
    <xf numFmtId="168" fontId="4" fillId="0" borderId="10" xfId="3" applyFont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left" vertical="center" wrapText="1"/>
    </xf>
    <xf numFmtId="168" fontId="6" fillId="0" borderId="9" xfId="3" applyFont="1" applyBorder="1" applyAlignment="1" applyProtection="1">
      <alignment vertical="center" wrapText="1"/>
    </xf>
    <xf numFmtId="168" fontId="6" fillId="0" borderId="10" xfId="3" applyFont="1" applyBorder="1" applyAlignment="1" applyProtection="1">
      <alignment vertical="center" wrapText="1"/>
    </xf>
    <xf numFmtId="172" fontId="6" fillId="0" borderId="8" xfId="0" applyNumberFormat="1" applyFont="1" applyFill="1" applyBorder="1" applyAlignment="1">
      <alignment horizontal="right" vertical="center" wrapText="1"/>
    </xf>
    <xf numFmtId="168" fontId="6" fillId="0" borderId="10" xfId="3" applyFont="1" applyFill="1" applyBorder="1" applyAlignment="1" applyProtection="1">
      <alignment vertical="center" wrapText="1"/>
    </xf>
    <xf numFmtId="168" fontId="6" fillId="0" borderId="0" xfId="3" applyFont="1" applyAlignment="1">
      <alignment vertical="center" wrapText="1"/>
    </xf>
    <xf numFmtId="170" fontId="6" fillId="0" borderId="8" xfId="0" applyNumberFormat="1" applyFont="1" applyBorder="1" applyAlignment="1">
      <alignment horizontal="right" vertical="center" wrapText="1"/>
    </xf>
    <xf numFmtId="170" fontId="6" fillId="5" borderId="9" xfId="4" applyFont="1" applyFill="1" applyBorder="1" applyAlignment="1" applyProtection="1">
      <alignment horizontal="left" vertical="center" wrapText="1"/>
    </xf>
    <xf numFmtId="43" fontId="6" fillId="0" borderId="9" xfId="1" applyFont="1" applyBorder="1" applyAlignment="1" applyProtection="1">
      <alignment horizontal="right" vertical="center" wrapText="1"/>
    </xf>
    <xf numFmtId="43" fontId="6" fillId="0" borderId="9" xfId="1" applyFont="1" applyBorder="1" applyAlignment="1" applyProtection="1">
      <alignment horizontal="center" vertical="center" wrapText="1"/>
    </xf>
    <xf numFmtId="43" fontId="6" fillId="0" borderId="9" xfId="1" applyFont="1" applyFill="1" applyBorder="1" applyAlignment="1" applyProtection="1">
      <alignment vertical="center" wrapText="1"/>
    </xf>
    <xf numFmtId="43" fontId="4" fillId="0" borderId="10" xfId="1" applyFont="1" applyBorder="1" applyAlignment="1" applyProtection="1">
      <alignment vertical="center" wrapText="1"/>
    </xf>
    <xf numFmtId="43" fontId="6" fillId="0" borderId="17" xfId="1" applyFont="1" applyFill="1" applyBorder="1" applyAlignment="1">
      <alignment horizontal="center" vertical="center" wrapText="1"/>
    </xf>
    <xf numFmtId="43" fontId="4" fillId="0" borderId="18" xfId="1" applyFont="1" applyFill="1" applyBorder="1" applyAlignment="1">
      <alignment horizontal="right" vertical="center" wrapText="1"/>
    </xf>
    <xf numFmtId="43" fontId="6" fillId="0" borderId="9" xfId="1" applyFont="1" applyFill="1" applyBorder="1" applyAlignment="1" applyProtection="1">
      <alignment horizontal="right" vertical="center" wrapText="1"/>
    </xf>
    <xf numFmtId="172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 applyProtection="1">
      <alignment vertical="center" wrapText="1"/>
    </xf>
    <xf numFmtId="43" fontId="6" fillId="0" borderId="14" xfId="1" applyFont="1" applyBorder="1" applyAlignment="1" applyProtection="1">
      <alignment horizontal="right" vertical="center" wrapText="1"/>
    </xf>
    <xf numFmtId="43" fontId="6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 applyProtection="1">
      <alignment vertical="center" wrapText="1"/>
    </xf>
    <xf numFmtId="43" fontId="4" fillId="0" borderId="15" xfId="1" applyFont="1" applyFill="1" applyBorder="1" applyAlignment="1">
      <alignment horizontal="right" vertical="center" wrapText="1"/>
    </xf>
    <xf numFmtId="171" fontId="4" fillId="0" borderId="16" xfId="0" applyNumberFormat="1" applyFont="1" applyBorder="1" applyAlignment="1">
      <alignment horizontal="right" vertical="center" wrapText="1"/>
    </xf>
    <xf numFmtId="0" fontId="4" fillId="0" borderId="11" xfId="0" applyFont="1" applyBorder="1" applyAlignment="1" applyProtection="1">
      <alignment vertical="center" wrapText="1"/>
    </xf>
    <xf numFmtId="43" fontId="6" fillId="0" borderId="11" xfId="1" applyFont="1" applyBorder="1" applyAlignment="1" applyProtection="1">
      <alignment horizontal="right" vertical="center" wrapText="1"/>
    </xf>
    <xf numFmtId="43" fontId="6" fillId="0" borderId="11" xfId="1" applyFont="1" applyBorder="1" applyAlignment="1" applyProtection="1">
      <alignment horizontal="center" vertical="center" wrapText="1"/>
    </xf>
    <xf numFmtId="43" fontId="6" fillId="0" borderId="11" xfId="1" applyFont="1" applyFill="1" applyBorder="1" applyAlignment="1" applyProtection="1">
      <alignment vertical="center" wrapText="1"/>
    </xf>
    <xf numFmtId="43" fontId="4" fillId="0" borderId="12" xfId="1" applyFont="1" applyBorder="1" applyAlignment="1" applyProtection="1">
      <alignment vertical="center" wrapText="1"/>
    </xf>
    <xf numFmtId="43" fontId="6" fillId="0" borderId="14" xfId="1" applyFont="1" applyBorder="1" applyAlignment="1" applyProtection="1">
      <alignment horizontal="center" vertical="center" wrapText="1"/>
    </xf>
    <xf numFmtId="43" fontId="4" fillId="0" borderId="15" xfId="1" applyFont="1" applyBorder="1" applyAlignment="1" applyProtection="1">
      <alignment vertical="center" wrapText="1"/>
    </xf>
    <xf numFmtId="43" fontId="6" fillId="0" borderId="19" xfId="1" applyFont="1" applyBorder="1" applyAlignment="1" applyProtection="1">
      <alignment horizontal="center" vertical="center" wrapText="1"/>
    </xf>
    <xf numFmtId="169" fontId="6" fillId="6" borderId="2" xfId="4" applyNumberFormat="1" applyFont="1" applyFill="1" applyBorder="1" applyAlignment="1" applyProtection="1">
      <alignment vertical="center" wrapText="1"/>
    </xf>
    <xf numFmtId="170" fontId="4" fillId="6" borderId="3" xfId="4" applyFont="1" applyFill="1" applyBorder="1" applyAlignment="1" applyProtection="1">
      <alignment horizontal="left" vertical="center" wrapText="1"/>
    </xf>
    <xf numFmtId="168" fontId="6" fillId="6" borderId="3" xfId="3" applyFont="1" applyFill="1" applyBorder="1" applyAlignment="1" applyProtection="1">
      <alignment vertical="center" wrapText="1"/>
    </xf>
    <xf numFmtId="168" fontId="6" fillId="6" borderId="3" xfId="3" applyFont="1" applyFill="1" applyBorder="1" applyAlignment="1" applyProtection="1">
      <alignment horizontal="center" vertical="center" wrapText="1"/>
    </xf>
    <xf numFmtId="168" fontId="6" fillId="6" borderId="3" xfId="3" applyFont="1" applyFill="1" applyBorder="1" applyAlignment="1" applyProtection="1">
      <alignment horizontal="right" vertical="center" wrapText="1"/>
    </xf>
    <xf numFmtId="168" fontId="4" fillId="6" borderId="4" xfId="3" applyFont="1" applyFill="1" applyBorder="1" applyAlignment="1" applyProtection="1">
      <alignment vertical="center" wrapText="1"/>
    </xf>
    <xf numFmtId="170" fontId="8" fillId="7" borderId="20" xfId="0" applyNumberFormat="1" applyFont="1" applyFill="1" applyBorder="1" applyAlignment="1" applyProtection="1">
      <alignment horizontal="right" vertical="center"/>
    </xf>
    <xf numFmtId="170" fontId="8" fillId="7" borderId="21" xfId="0" applyNumberFormat="1" applyFont="1" applyFill="1" applyBorder="1" applyAlignment="1" applyProtection="1">
      <alignment horizontal="left" vertical="center" wrapText="1"/>
    </xf>
    <xf numFmtId="43" fontId="8" fillId="7" borderId="21" xfId="1" applyFont="1" applyFill="1" applyBorder="1" applyAlignment="1" applyProtection="1">
      <alignment horizontal="center" vertical="center"/>
    </xf>
    <xf numFmtId="170" fontId="8" fillId="7" borderId="21" xfId="0" applyNumberFormat="1" applyFont="1" applyFill="1" applyBorder="1" applyAlignment="1" applyProtection="1">
      <alignment horizontal="center" vertical="center"/>
    </xf>
    <xf numFmtId="43" fontId="8" fillId="7" borderId="22" xfId="1" applyFont="1" applyFill="1" applyBorder="1" applyAlignment="1" applyProtection="1">
      <alignment horizontal="center" vertical="center"/>
    </xf>
    <xf numFmtId="170" fontId="9" fillId="0" borderId="23" xfId="0" applyNumberFormat="1" applyFont="1" applyBorder="1" applyAlignment="1" applyProtection="1">
      <alignment horizontal="right" vertical="center"/>
    </xf>
    <xf numFmtId="170" fontId="9" fillId="0" borderId="24" xfId="0" applyNumberFormat="1" applyFont="1" applyBorder="1" applyAlignment="1" applyProtection="1">
      <alignment vertical="center" wrapText="1"/>
    </xf>
    <xf numFmtId="43" fontId="9" fillId="0" borderId="24" xfId="1" applyFont="1" applyBorder="1" applyAlignment="1" applyProtection="1">
      <alignment vertical="center"/>
    </xf>
    <xf numFmtId="39" fontId="9" fillId="0" borderId="24" xfId="0" applyNumberFormat="1" applyFont="1" applyBorder="1" applyAlignment="1" applyProtection="1">
      <alignment vertical="center"/>
    </xf>
    <xf numFmtId="43" fontId="8" fillId="0" borderId="25" xfId="1" applyFont="1" applyBorder="1" applyAlignment="1" applyProtection="1">
      <alignment vertical="center"/>
    </xf>
    <xf numFmtId="169" fontId="6" fillId="0" borderId="26" xfId="0" applyNumberFormat="1" applyFont="1" applyFill="1" applyBorder="1" applyAlignment="1" applyProtection="1">
      <alignment horizontal="right" vertical="center"/>
    </xf>
    <xf numFmtId="170" fontId="6" fillId="0" borderId="19" xfId="0" applyNumberFormat="1" applyFont="1" applyFill="1" applyBorder="1" applyAlignment="1" applyProtection="1">
      <alignment horizontal="left" vertical="center" wrapText="1"/>
    </xf>
    <xf numFmtId="43" fontId="6" fillId="0" borderId="19" xfId="1" applyFont="1" applyFill="1" applyBorder="1" applyAlignment="1" applyProtection="1">
      <alignment horizontal="left" vertical="center"/>
    </xf>
    <xf numFmtId="10" fontId="6" fillId="0" borderId="19" xfId="5" applyNumberFormat="1" applyFont="1" applyFill="1" applyBorder="1" applyAlignment="1" applyProtection="1">
      <alignment horizontal="center" vertical="center"/>
    </xf>
    <xf numFmtId="43" fontId="6" fillId="0" borderId="19" xfId="1" applyFont="1" applyFill="1" applyBorder="1" applyAlignment="1" applyProtection="1">
      <alignment vertical="center"/>
    </xf>
    <xf numFmtId="43" fontId="4" fillId="0" borderId="27" xfId="1" applyFont="1" applyFill="1" applyBorder="1" applyAlignment="1" applyProtection="1">
      <alignment vertical="center"/>
    </xf>
    <xf numFmtId="168" fontId="6" fillId="0" borderId="19" xfId="3" applyFont="1" applyFill="1" applyBorder="1" applyAlignment="1" applyProtection="1">
      <alignment vertical="center"/>
    </xf>
    <xf numFmtId="43" fontId="4" fillId="0" borderId="28" xfId="1" applyFont="1" applyFill="1" applyBorder="1" applyAlignment="1" applyProtection="1">
      <alignment vertical="center"/>
    </xf>
    <xf numFmtId="170" fontId="9" fillId="7" borderId="20" xfId="0" applyNumberFormat="1" applyFont="1" applyFill="1" applyBorder="1" applyAlignment="1" applyProtection="1">
      <alignment horizontal="right" vertical="center"/>
    </xf>
    <xf numFmtId="170" fontId="8" fillId="7" borderId="21" xfId="0" applyNumberFormat="1" applyFont="1" applyFill="1" applyBorder="1" applyAlignment="1" applyProtection="1">
      <alignment vertical="center" wrapText="1"/>
    </xf>
    <xf numFmtId="43" fontId="8" fillId="7" borderId="21" xfId="1" applyFont="1" applyFill="1" applyBorder="1" applyAlignment="1" applyProtection="1">
      <alignment vertical="center"/>
    </xf>
    <xf numFmtId="170" fontId="9" fillId="7" borderId="21" xfId="0" applyNumberFormat="1" applyFont="1" applyFill="1" applyBorder="1" applyAlignment="1" applyProtection="1">
      <alignment vertical="center"/>
    </xf>
    <xf numFmtId="43" fontId="9" fillId="7" borderId="21" xfId="1" applyFont="1" applyFill="1" applyBorder="1" applyAlignment="1" applyProtection="1">
      <alignment vertical="center"/>
    </xf>
    <xf numFmtId="43" fontId="8" fillId="7" borderId="22" xfId="1" applyFont="1" applyFill="1" applyBorder="1" applyAlignment="1" applyProtection="1">
      <alignment vertical="center"/>
    </xf>
    <xf numFmtId="170" fontId="9" fillId="0" borderId="20" xfId="0" applyNumberFormat="1" applyFont="1" applyFill="1" applyBorder="1" applyAlignment="1" applyProtection="1">
      <alignment horizontal="right" vertical="center"/>
    </xf>
    <xf numFmtId="170" fontId="8" fillId="0" borderId="21" xfId="0" applyNumberFormat="1" applyFont="1" applyFill="1" applyBorder="1" applyAlignment="1" applyProtection="1">
      <alignment vertical="center" wrapText="1"/>
    </xf>
    <xf numFmtId="43" fontId="8" fillId="0" borderId="21" xfId="1" applyFont="1" applyFill="1" applyBorder="1" applyAlignment="1" applyProtection="1">
      <alignment vertical="center"/>
    </xf>
    <xf numFmtId="170" fontId="9" fillId="0" borderId="21" xfId="0" applyNumberFormat="1" applyFont="1" applyFill="1" applyBorder="1" applyAlignment="1" applyProtection="1">
      <alignment vertical="center"/>
    </xf>
    <xf numFmtId="43" fontId="9" fillId="0" borderId="21" xfId="1" applyFont="1" applyFill="1" applyBorder="1" applyAlignment="1" applyProtection="1">
      <alignment vertical="center"/>
    </xf>
    <xf numFmtId="43" fontId="8" fillId="0" borderId="22" xfId="1" applyFont="1" applyFill="1" applyBorder="1" applyAlignment="1" applyProtection="1">
      <alignment vertical="center"/>
    </xf>
    <xf numFmtId="10" fontId="9" fillId="7" borderId="21" xfId="0" applyNumberFormat="1" applyFont="1" applyFill="1" applyBorder="1" applyAlignment="1" applyProtection="1">
      <alignment horizontal="center" vertical="center"/>
    </xf>
    <xf numFmtId="10" fontId="9" fillId="0" borderId="21" xfId="0" applyNumberFormat="1" applyFont="1" applyFill="1" applyBorder="1" applyAlignment="1" applyProtection="1">
      <alignment vertical="center"/>
    </xf>
    <xf numFmtId="170" fontId="9" fillId="7" borderId="29" xfId="0" applyNumberFormat="1" applyFont="1" applyFill="1" applyBorder="1" applyAlignment="1" applyProtection="1">
      <alignment horizontal="right" vertical="center"/>
    </xf>
    <xf numFmtId="170" fontId="8" fillId="7" borderId="30" xfId="0" applyNumberFormat="1" applyFont="1" applyFill="1" applyBorder="1" applyAlignment="1" applyProtection="1">
      <alignment vertical="center" wrapText="1"/>
    </xf>
    <xf numFmtId="43" fontId="8" fillId="7" borderId="30" xfId="1" applyFont="1" applyFill="1" applyBorder="1" applyAlignment="1" applyProtection="1">
      <alignment vertical="center"/>
    </xf>
    <xf numFmtId="170" fontId="9" fillId="7" borderId="30" xfId="0" applyNumberFormat="1" applyFont="1" applyFill="1" applyBorder="1" applyAlignment="1" applyProtection="1">
      <alignment vertical="center"/>
    </xf>
    <xf numFmtId="43" fontId="9" fillId="7" borderId="30" xfId="1" applyFont="1" applyFill="1" applyBorder="1" applyAlignment="1" applyProtection="1">
      <alignment vertical="center"/>
    </xf>
    <xf numFmtId="43" fontId="8" fillId="7" borderId="31" xfId="1" applyFont="1" applyFill="1" applyBorder="1" applyAlignment="1" applyProtection="1">
      <alignment vertical="center"/>
    </xf>
    <xf numFmtId="170" fontId="9" fillId="0" borderId="0" xfId="0" applyNumberFormat="1" applyFont="1" applyBorder="1" applyAlignment="1" applyProtection="1">
      <alignment horizontal="right" vertical="center"/>
    </xf>
    <xf numFmtId="170" fontId="9" fillId="0" borderId="0" xfId="0" applyNumberFormat="1" applyFont="1" applyBorder="1" applyAlignment="1" applyProtection="1">
      <alignment vertical="center" wrapText="1"/>
    </xf>
    <xf numFmtId="43" fontId="9" fillId="0" borderId="0" xfId="1" applyFont="1" applyBorder="1" applyAlignment="1" applyProtection="1">
      <alignment vertical="center"/>
    </xf>
    <xf numFmtId="170" fontId="9" fillId="0" borderId="0" xfId="0" applyNumberFormat="1" applyFont="1" applyBorder="1" applyAlignment="1" applyProtection="1">
      <alignment vertical="center"/>
    </xf>
    <xf numFmtId="43" fontId="6" fillId="0" borderId="0" xfId="1" applyFont="1" applyAlignment="1">
      <alignment vertical="center"/>
    </xf>
    <xf numFmtId="43" fontId="8" fillId="0" borderId="0" xfId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horizontal="right" vertical="center"/>
    </xf>
    <xf numFmtId="170" fontId="6" fillId="0" borderId="0" xfId="0" applyNumberFormat="1" applyFont="1" applyBorder="1" applyAlignment="1" applyProtection="1">
      <alignment vertical="center" wrapText="1"/>
    </xf>
    <xf numFmtId="43" fontId="6" fillId="0" borderId="0" xfId="1" applyFont="1" applyBorder="1" applyAlignment="1" applyProtection="1">
      <alignment vertical="center"/>
    </xf>
    <xf numFmtId="170" fontId="11" fillId="0" borderId="0" xfId="0" applyNumberFormat="1" applyFont="1" applyBorder="1" applyAlignment="1" applyProtection="1">
      <alignment vertical="center"/>
    </xf>
    <xf numFmtId="43" fontId="12" fillId="0" borderId="0" xfId="1" applyFont="1" applyAlignment="1">
      <alignment horizontal="center" vertical="center"/>
    </xf>
    <xf numFmtId="43" fontId="13" fillId="0" borderId="0" xfId="1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170" fontId="16" fillId="8" borderId="2" xfId="0" applyNumberFormat="1" applyFont="1" applyFill="1" applyBorder="1" applyAlignment="1" applyProtection="1">
      <alignment horizontal="center"/>
    </xf>
    <xf numFmtId="170" fontId="16" fillId="8" borderId="3" xfId="0" applyNumberFormat="1" applyFont="1" applyFill="1" applyBorder="1" applyAlignment="1" applyProtection="1">
      <alignment horizontal="center"/>
    </xf>
    <xf numFmtId="10" fontId="16" fillId="8" borderId="3" xfId="2" applyNumberFormat="1" applyFont="1" applyFill="1" applyBorder="1" applyAlignment="1" applyProtection="1">
      <alignment horizontal="center"/>
    </xf>
    <xf numFmtId="168" fontId="16" fillId="8" borderId="3" xfId="3" applyFont="1" applyFill="1" applyBorder="1" applyAlignment="1" applyProtection="1">
      <alignment horizontal="center"/>
    </xf>
    <xf numFmtId="168" fontId="16" fillId="8" borderId="4" xfId="3" applyFont="1" applyFill="1" applyBorder="1" applyAlignment="1" applyProtection="1">
      <alignment horizontal="center"/>
    </xf>
    <xf numFmtId="0" fontId="15" fillId="5" borderId="5" xfId="0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center" vertical="center" wrapText="1"/>
    </xf>
    <xf numFmtId="168" fontId="15" fillId="5" borderId="6" xfId="3" applyFont="1" applyFill="1" applyBorder="1" applyAlignment="1">
      <alignment horizontal="center" vertical="center" wrapText="1"/>
    </xf>
    <xf numFmtId="168" fontId="15" fillId="5" borderId="7" xfId="3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5" fillId="5" borderId="9" xfId="0" applyFont="1" applyFill="1" applyBorder="1" applyAlignment="1">
      <alignment horizontal="left" vertical="center" wrapText="1"/>
    </xf>
    <xf numFmtId="168" fontId="15" fillId="5" borderId="9" xfId="3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168" fontId="15" fillId="5" borderId="10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vertical="center" wrapText="1"/>
    </xf>
    <xf numFmtId="168" fontId="14" fillId="0" borderId="9" xfId="3" applyFont="1" applyFill="1" applyBorder="1" applyAlignment="1">
      <alignment horizontal="center" vertical="center" wrapText="1"/>
    </xf>
    <xf numFmtId="39" fontId="14" fillId="0" borderId="9" xfId="0" applyNumberFormat="1" applyFont="1" applyFill="1" applyBorder="1" applyAlignment="1">
      <alignment horizontal="right" vertical="center" wrapText="1"/>
    </xf>
    <xf numFmtId="39" fontId="14" fillId="0" borderId="10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left" vertical="center" wrapText="1"/>
    </xf>
    <xf numFmtId="39" fontId="15" fillId="0" borderId="10" xfId="0" applyNumberFormat="1" applyFont="1" applyFill="1" applyBorder="1" applyAlignment="1">
      <alignment horizontal="right" vertical="center" wrapText="1"/>
    </xf>
    <xf numFmtId="39" fontId="17" fillId="0" borderId="9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17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 wrapText="1"/>
    </xf>
    <xf numFmtId="170" fontId="18" fillId="8" borderId="2" xfId="0" applyNumberFormat="1" applyFont="1" applyFill="1" applyBorder="1" applyAlignment="1" applyProtection="1">
      <alignment horizontal="fill"/>
    </xf>
    <xf numFmtId="170" fontId="16" fillId="8" borderId="3" xfId="0" applyNumberFormat="1" applyFont="1" applyFill="1" applyBorder="1" applyProtection="1"/>
    <xf numFmtId="168" fontId="18" fillId="8" borderId="3" xfId="3" applyFont="1" applyFill="1" applyBorder="1" applyProtection="1"/>
    <xf numFmtId="168" fontId="16" fillId="8" borderId="4" xfId="3" applyFont="1" applyFill="1" applyBorder="1" applyProtection="1"/>
    <xf numFmtId="0" fontId="15" fillId="0" borderId="13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39" fontId="14" fillId="0" borderId="14" xfId="0" applyNumberFormat="1" applyFont="1" applyFill="1" applyBorder="1" applyAlignment="1">
      <alignment horizontal="right" vertical="center" wrapText="1"/>
    </xf>
    <xf numFmtId="39" fontId="14" fillId="0" borderId="15" xfId="0" applyNumberFormat="1" applyFont="1" applyFill="1" applyBorder="1" applyAlignment="1">
      <alignment horizontal="right" vertical="center" wrapText="1"/>
    </xf>
    <xf numFmtId="10" fontId="18" fillId="8" borderId="3" xfId="2" applyNumberFormat="1" applyFont="1" applyFill="1" applyBorder="1" applyProtection="1"/>
    <xf numFmtId="49" fontId="14" fillId="0" borderId="32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left" vertical="center" wrapText="1"/>
    </xf>
    <xf numFmtId="43" fontId="14" fillId="0" borderId="33" xfId="3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3" fontId="14" fillId="0" borderId="33" xfId="3" applyNumberFormat="1" applyFont="1" applyFill="1" applyBorder="1" applyAlignment="1">
      <alignment vertical="center" wrapText="1"/>
    </xf>
    <xf numFmtId="43" fontId="19" fillId="0" borderId="34" xfId="3" applyNumberFormat="1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10" fontId="14" fillId="0" borderId="3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43" fontId="14" fillId="0" borderId="36" xfId="3" applyNumberFormat="1" applyFont="1" applyFill="1" applyBorder="1" applyAlignment="1">
      <alignment horizontal="center" vertical="center" wrapText="1"/>
    </xf>
    <xf numFmtId="43" fontId="14" fillId="0" borderId="36" xfId="3" applyNumberFormat="1" applyFont="1" applyFill="1" applyBorder="1" applyAlignment="1">
      <alignment vertical="center" wrapText="1"/>
    </xf>
    <xf numFmtId="43" fontId="19" fillId="0" borderId="37" xfId="3" applyNumberFormat="1" applyFont="1" applyFill="1" applyBorder="1" applyAlignment="1">
      <alignment vertical="center"/>
    </xf>
    <xf numFmtId="49" fontId="14" fillId="0" borderId="38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left" vertical="center" wrapText="1"/>
    </xf>
    <xf numFmtId="10" fontId="14" fillId="0" borderId="39" xfId="0" applyNumberFormat="1" applyFont="1" applyFill="1" applyBorder="1" applyAlignment="1">
      <alignment horizontal="center" vertical="center" wrapText="1"/>
    </xf>
    <xf numFmtId="43" fontId="14" fillId="0" borderId="39" xfId="3" applyNumberFormat="1" applyFont="1" applyFill="1" applyBorder="1" applyAlignment="1">
      <alignment horizontal="center" vertical="center" wrapText="1"/>
    </xf>
    <xf numFmtId="43" fontId="14" fillId="0" borderId="39" xfId="3" applyNumberFormat="1" applyFont="1" applyFill="1" applyBorder="1" applyAlignment="1">
      <alignment vertical="center" wrapText="1"/>
    </xf>
    <xf numFmtId="43" fontId="19" fillId="0" borderId="40" xfId="3" applyNumberFormat="1" applyFont="1" applyFill="1" applyBorder="1" applyAlignment="1">
      <alignment vertical="center"/>
    </xf>
    <xf numFmtId="170" fontId="18" fillId="0" borderId="2" xfId="0" applyNumberFormat="1" applyFont="1" applyFill="1" applyBorder="1" applyAlignment="1" applyProtection="1">
      <alignment horizontal="fill"/>
    </xf>
    <xf numFmtId="170" fontId="16" fillId="0" borderId="3" xfId="0" applyNumberFormat="1" applyFont="1" applyFill="1" applyBorder="1" applyProtection="1"/>
    <xf numFmtId="10" fontId="18" fillId="0" borderId="3" xfId="2" applyNumberFormat="1" applyFont="1" applyFill="1" applyBorder="1" applyProtection="1"/>
    <xf numFmtId="168" fontId="18" fillId="0" borderId="3" xfId="3" applyFont="1" applyFill="1" applyBorder="1" applyProtection="1"/>
    <xf numFmtId="168" fontId="16" fillId="0" borderId="4" xfId="3" applyFont="1" applyFill="1" applyBorder="1" applyProtection="1"/>
    <xf numFmtId="170" fontId="18" fillId="8" borderId="41" xfId="0" applyNumberFormat="1" applyFont="1" applyFill="1" applyBorder="1" applyAlignment="1" applyProtection="1">
      <alignment horizontal="fill"/>
    </xf>
    <xf numFmtId="170" fontId="16" fillId="8" borderId="42" xfId="0" applyNumberFormat="1" applyFont="1" applyFill="1" applyBorder="1" applyProtection="1"/>
    <xf numFmtId="168" fontId="18" fillId="8" borderId="42" xfId="3" applyFont="1" applyFill="1" applyBorder="1" applyProtection="1"/>
    <xf numFmtId="168" fontId="16" fillId="8" borderId="43" xfId="3" applyFont="1" applyFill="1" applyBorder="1" applyProtection="1"/>
    <xf numFmtId="170" fontId="16" fillId="0" borderId="0" xfId="0" applyNumberFormat="1" applyFont="1" applyBorder="1" applyAlignment="1" applyProtection="1">
      <alignment horizontal="right"/>
    </xf>
    <xf numFmtId="170" fontId="16" fillId="0" borderId="0" xfId="0" applyNumberFormat="1" applyFont="1" applyBorder="1" applyProtection="1"/>
    <xf numFmtId="168" fontId="18" fillId="0" borderId="0" xfId="3" applyNumberFormat="1" applyFont="1" applyBorder="1" applyProtection="1"/>
    <xf numFmtId="170" fontId="18" fillId="0" borderId="0" xfId="0" applyNumberFormat="1" applyFont="1" applyBorder="1" applyProtection="1"/>
    <xf numFmtId="168" fontId="14" fillId="0" borderId="0" xfId="3" applyNumberFormat="1" applyFont="1" applyAlignment="1">
      <alignment vertical="center"/>
    </xf>
    <xf numFmtId="168" fontId="16" fillId="0" borderId="0" xfId="3" applyNumberFormat="1" applyFont="1" applyBorder="1" applyProtection="1"/>
    <xf numFmtId="170" fontId="21" fillId="0" borderId="0" xfId="0" applyNumberFormat="1" applyFont="1" applyBorder="1" applyAlignment="1" applyProtection="1">
      <alignment horizontal="right"/>
    </xf>
    <xf numFmtId="170" fontId="14" fillId="0" borderId="0" xfId="0" applyNumberFormat="1" applyFont="1" applyBorder="1" applyProtection="1"/>
    <xf numFmtId="168" fontId="14" fillId="0" borderId="0" xfId="3" applyNumberFormat="1" applyFont="1" applyBorder="1" applyProtection="1"/>
    <xf numFmtId="170" fontId="22" fillId="0" borderId="0" xfId="0" applyNumberFormat="1" applyFont="1" applyBorder="1" applyProtection="1"/>
    <xf numFmtId="168" fontId="21" fillId="0" borderId="0" xfId="3" applyNumberFormat="1" applyFont="1" applyAlignment="1">
      <alignment vertical="center"/>
    </xf>
    <xf numFmtId="168" fontId="23" fillId="0" borderId="0" xfId="3" applyNumberFormat="1" applyFont="1" applyBorder="1" applyProtection="1"/>
    <xf numFmtId="170" fontId="18" fillId="0" borderId="0" xfId="0" applyNumberFormat="1" applyFont="1" applyBorder="1" applyAlignment="1" applyProtection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</cellXfs>
  <cellStyles count="6">
    <cellStyle name="Millares" xfId="1" builtinId="3"/>
    <cellStyle name="Millares 10" xfId="3"/>
    <cellStyle name="Normal" xfId="0" builtinId="0"/>
    <cellStyle name="Normal 3" xfId="4"/>
    <cellStyle name="Porcentaje" xfId="2" builtinId="5"/>
    <cellStyle name="Porcentual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6"/>
  <sheetViews>
    <sheetView tabSelected="1" workbookViewId="0">
      <selection activeCell="B11" sqref="B11"/>
    </sheetView>
  </sheetViews>
  <sheetFormatPr baseColWidth="10" defaultRowHeight="15" x14ac:dyDescent="0.25"/>
  <cols>
    <col min="3" max="3" width="72" customWidth="1"/>
  </cols>
  <sheetData>
    <row r="5" spans="1:3" ht="18.75" x14ac:dyDescent="0.25">
      <c r="A5" s="1">
        <v>24</v>
      </c>
      <c r="B5" s="3" t="s">
        <v>0</v>
      </c>
      <c r="C5" s="2" t="s">
        <v>1</v>
      </c>
    </row>
    <row r="6" spans="1:3" ht="37.5" x14ac:dyDescent="0.25">
      <c r="A6" s="1"/>
      <c r="B6" s="4" t="s">
        <v>2</v>
      </c>
      <c r="C6" s="2" t="s">
        <v>3</v>
      </c>
    </row>
  </sheetData>
  <mergeCells count="1"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1"/>
  <sheetViews>
    <sheetView workbookViewId="0">
      <selection activeCell="B13" sqref="B13"/>
    </sheetView>
  </sheetViews>
  <sheetFormatPr baseColWidth="10" defaultRowHeight="15" x14ac:dyDescent="0.25"/>
  <cols>
    <col min="1" max="1" width="9.140625" customWidth="1"/>
    <col min="2" max="2" width="50" customWidth="1"/>
    <col min="3" max="3" width="14.7109375" bestFit="1" customWidth="1"/>
    <col min="4" max="4" width="10.85546875" customWidth="1"/>
    <col min="5" max="5" width="16.7109375" customWidth="1"/>
    <col min="6" max="6" width="16" bestFit="1" customWidth="1"/>
    <col min="7" max="7" width="21.28515625" bestFit="1" customWidth="1"/>
  </cols>
  <sheetData>
    <row r="1" spans="1:7" ht="15.75" x14ac:dyDescent="0.25">
      <c r="A1" s="5" t="s">
        <v>4</v>
      </c>
      <c r="B1" s="5"/>
      <c r="C1" s="5"/>
      <c r="D1" s="5"/>
      <c r="E1" s="5"/>
      <c r="F1" s="5"/>
      <c r="G1" s="5"/>
    </row>
    <row r="2" spans="1:7" ht="15.75" x14ac:dyDescent="0.25">
      <c r="A2" s="6" t="s">
        <v>5</v>
      </c>
      <c r="B2" s="6"/>
      <c r="C2" s="6"/>
      <c r="D2" s="6"/>
      <c r="E2" s="6"/>
      <c r="F2" s="6"/>
      <c r="G2" s="6"/>
    </row>
    <row r="3" spans="1:7" ht="15.75" x14ac:dyDescent="0.25">
      <c r="A3" s="7" t="s">
        <v>6</v>
      </c>
      <c r="B3" s="8"/>
      <c r="C3" s="8"/>
      <c r="D3" s="8"/>
      <c r="E3" s="8"/>
      <c r="F3" s="8"/>
      <c r="G3" s="8"/>
    </row>
    <row r="4" spans="1:7" ht="16.5" thickBot="1" x14ac:dyDescent="0.3">
      <c r="A4" s="9"/>
      <c r="B4" s="10"/>
      <c r="C4" s="10"/>
      <c r="D4" s="10"/>
      <c r="E4" s="11"/>
      <c r="F4" s="11"/>
      <c r="G4" s="11"/>
    </row>
    <row r="5" spans="1:7" ht="17.25" thickTop="1" thickBot="1" x14ac:dyDescent="0.3">
      <c r="A5" s="12" t="s">
        <v>7</v>
      </c>
      <c r="B5" s="13" t="s">
        <v>8</v>
      </c>
      <c r="C5" s="14" t="s">
        <v>9</v>
      </c>
      <c r="D5" s="13" t="s">
        <v>10</v>
      </c>
      <c r="E5" s="15" t="s">
        <v>11</v>
      </c>
      <c r="F5" s="15" t="s">
        <v>12</v>
      </c>
      <c r="G5" s="16" t="s">
        <v>13</v>
      </c>
    </row>
    <row r="6" spans="1:7" ht="16.5" thickTop="1" x14ac:dyDescent="0.25">
      <c r="A6" s="17"/>
      <c r="B6" s="18"/>
      <c r="C6" s="19"/>
      <c r="D6" s="19"/>
      <c r="E6" s="19"/>
      <c r="F6" s="19"/>
      <c r="G6" s="20"/>
    </row>
    <row r="7" spans="1:7" ht="15.75" x14ac:dyDescent="0.25">
      <c r="A7" s="21">
        <v>1</v>
      </c>
      <c r="B7" s="22" t="s">
        <v>14</v>
      </c>
      <c r="C7" s="23"/>
      <c r="D7" s="23"/>
      <c r="E7" s="23"/>
      <c r="F7" s="23"/>
      <c r="G7" s="24"/>
    </row>
    <row r="8" spans="1:7" ht="15.75" x14ac:dyDescent="0.25">
      <c r="A8" s="25">
        <f>+A7+0.1</f>
        <v>1.1000000000000001</v>
      </c>
      <c r="B8" s="26" t="s">
        <v>15</v>
      </c>
      <c r="C8" s="27">
        <v>1</v>
      </c>
      <c r="D8" s="28" t="s">
        <v>16</v>
      </c>
      <c r="E8" s="27"/>
      <c r="F8" s="29">
        <f>ROUND(E8*C8,2)</f>
        <v>0</v>
      </c>
      <c r="G8" s="24"/>
    </row>
    <row r="9" spans="1:7" ht="15.75" x14ac:dyDescent="0.25">
      <c r="A9" s="25">
        <f t="shared" ref="A9:A13" si="0">+A8+0.1</f>
        <v>1.2000000000000002</v>
      </c>
      <c r="B9" s="30" t="s">
        <v>17</v>
      </c>
      <c r="C9" s="27">
        <v>1</v>
      </c>
      <c r="D9" s="28" t="s">
        <v>16</v>
      </c>
      <c r="E9" s="31"/>
      <c r="F9" s="29">
        <f t="shared" ref="F9:F13" si="1">ROUND(E9*C9,2)</f>
        <v>0</v>
      </c>
      <c r="G9" s="24"/>
    </row>
    <row r="10" spans="1:7" ht="15.75" x14ac:dyDescent="0.25">
      <c r="A10" s="25">
        <f t="shared" si="0"/>
        <v>1.3000000000000003</v>
      </c>
      <c r="B10" s="30" t="s">
        <v>18</v>
      </c>
      <c r="C10" s="27">
        <f>19*17.5*0.4*1.2</f>
        <v>159.6</v>
      </c>
      <c r="D10" s="28" t="s">
        <v>19</v>
      </c>
      <c r="E10" s="31"/>
      <c r="F10" s="29">
        <f t="shared" si="1"/>
        <v>0</v>
      </c>
      <c r="G10" s="24"/>
    </row>
    <row r="11" spans="1:7" ht="15.75" x14ac:dyDescent="0.25">
      <c r="A11" s="25">
        <f t="shared" si="0"/>
        <v>1.4000000000000004</v>
      </c>
      <c r="B11" s="30" t="s">
        <v>20</v>
      </c>
      <c r="C11" s="27">
        <f>C10</f>
        <v>159.6</v>
      </c>
      <c r="D11" s="28" t="s">
        <v>19</v>
      </c>
      <c r="E11" s="31"/>
      <c r="F11" s="29">
        <f t="shared" si="1"/>
        <v>0</v>
      </c>
      <c r="G11" s="24"/>
    </row>
    <row r="12" spans="1:7" ht="15.75" x14ac:dyDescent="0.25">
      <c r="A12" s="25">
        <f t="shared" si="0"/>
        <v>1.5000000000000004</v>
      </c>
      <c r="B12" s="30" t="s">
        <v>21</v>
      </c>
      <c r="C12" s="27">
        <f>19*17.5*0.05</f>
        <v>16.625</v>
      </c>
      <c r="D12" s="28" t="s">
        <v>19</v>
      </c>
      <c r="E12" s="31"/>
      <c r="F12" s="29">
        <f t="shared" si="1"/>
        <v>0</v>
      </c>
      <c r="G12" s="24"/>
    </row>
    <row r="13" spans="1:7" ht="15.75" x14ac:dyDescent="0.25">
      <c r="A13" s="25">
        <f t="shared" si="0"/>
        <v>1.6000000000000005</v>
      </c>
      <c r="B13" s="30" t="s">
        <v>22</v>
      </c>
      <c r="C13" s="27">
        <v>1</v>
      </c>
      <c r="D13" s="28" t="s">
        <v>16</v>
      </c>
      <c r="E13" s="31"/>
      <c r="F13" s="29">
        <f t="shared" si="1"/>
        <v>0</v>
      </c>
      <c r="G13" s="24">
        <f>SUM(F8:F13)</f>
        <v>0</v>
      </c>
    </row>
    <row r="14" spans="1:7" ht="15.75" x14ac:dyDescent="0.25">
      <c r="A14" s="25"/>
      <c r="B14" s="30"/>
      <c r="C14" s="27"/>
      <c r="D14" s="28"/>
      <c r="E14" s="31"/>
      <c r="F14" s="29"/>
      <c r="G14" s="24"/>
    </row>
    <row r="15" spans="1:7" ht="15.75" x14ac:dyDescent="0.25">
      <c r="A15" s="32">
        <v>2</v>
      </c>
      <c r="B15" s="33" t="s">
        <v>23</v>
      </c>
      <c r="C15" s="34"/>
      <c r="D15" s="34"/>
      <c r="E15" s="35"/>
      <c r="F15" s="34"/>
      <c r="G15" s="36"/>
    </row>
    <row r="16" spans="1:7" ht="15.75" x14ac:dyDescent="0.25">
      <c r="A16" s="37">
        <f>A15+0.1</f>
        <v>2.1</v>
      </c>
      <c r="B16" s="38" t="s">
        <v>24</v>
      </c>
      <c r="C16" s="39">
        <f>19*2+17.5*2</f>
        <v>73</v>
      </c>
      <c r="D16" s="39" t="s">
        <v>25</v>
      </c>
      <c r="E16" s="40"/>
      <c r="F16" s="29">
        <f>+C16*E16</f>
        <v>0</v>
      </c>
      <c r="G16" s="36"/>
    </row>
    <row r="17" spans="1:7" ht="15.75" x14ac:dyDescent="0.25">
      <c r="A17" s="37">
        <f>A16+0.1</f>
        <v>2.2000000000000002</v>
      </c>
      <c r="B17" s="38" t="s">
        <v>26</v>
      </c>
      <c r="C17" s="34"/>
      <c r="D17" s="34"/>
      <c r="E17" s="40"/>
      <c r="F17" s="34"/>
      <c r="G17" s="36"/>
    </row>
    <row r="18" spans="1:7" ht="30" x14ac:dyDescent="0.25">
      <c r="A18" s="37" t="s">
        <v>27</v>
      </c>
      <c r="B18" s="38" t="s">
        <v>28</v>
      </c>
      <c r="C18" s="29">
        <f>73*0.45*1</f>
        <v>32.85</v>
      </c>
      <c r="D18" s="41" t="s">
        <v>19</v>
      </c>
      <c r="E18" s="27"/>
      <c r="F18" s="29">
        <f>+C18*E18</f>
        <v>0</v>
      </c>
      <c r="G18" s="42"/>
    </row>
    <row r="19" spans="1:7" ht="15.75" x14ac:dyDescent="0.25">
      <c r="A19" s="37" t="s">
        <v>29</v>
      </c>
      <c r="B19" s="38" t="s">
        <v>30</v>
      </c>
      <c r="C19" s="29">
        <f>73*0.3*0.75</f>
        <v>16.424999999999997</v>
      </c>
      <c r="D19" s="41" t="s">
        <v>19</v>
      </c>
      <c r="E19" s="27"/>
      <c r="F19" s="29">
        <f>+C19*E19</f>
        <v>0</v>
      </c>
      <c r="G19" s="42"/>
    </row>
    <row r="20" spans="1:7" ht="15.75" x14ac:dyDescent="0.25">
      <c r="A20" s="37" t="s">
        <v>31</v>
      </c>
      <c r="B20" s="43" t="s">
        <v>32</v>
      </c>
      <c r="C20" s="29">
        <f>(C18-C19)*1.3</f>
        <v>21.352500000000006</v>
      </c>
      <c r="D20" s="41" t="s">
        <v>19</v>
      </c>
      <c r="E20" s="27"/>
      <c r="F20" s="44">
        <f>+C20*E20</f>
        <v>0</v>
      </c>
      <c r="G20" s="42"/>
    </row>
    <row r="21" spans="1:7" ht="15.75" x14ac:dyDescent="0.25">
      <c r="A21" s="37">
        <f>A17+0.1</f>
        <v>2.3000000000000003</v>
      </c>
      <c r="B21" s="45" t="s">
        <v>33</v>
      </c>
      <c r="C21" s="29"/>
      <c r="D21" s="46"/>
      <c r="E21" s="47"/>
      <c r="F21" s="48"/>
      <c r="G21" s="49"/>
    </row>
    <row r="22" spans="1:7" ht="15.75" x14ac:dyDescent="0.25">
      <c r="A22" s="37" t="s">
        <v>34</v>
      </c>
      <c r="B22" s="45" t="s">
        <v>35</v>
      </c>
      <c r="C22" s="29">
        <f>73*0.45*0.25</f>
        <v>8.2125000000000004</v>
      </c>
      <c r="D22" s="41" t="s">
        <v>19</v>
      </c>
      <c r="E22" s="47"/>
      <c r="F22" s="44">
        <f t="shared" ref="F22:F29" si="2">+C22*E22</f>
        <v>0</v>
      </c>
      <c r="G22" s="49"/>
    </row>
    <row r="23" spans="1:7" ht="15.75" x14ac:dyDescent="0.25">
      <c r="A23" s="37" t="s">
        <v>36</v>
      </c>
      <c r="B23" s="45" t="s">
        <v>37</v>
      </c>
      <c r="C23" s="29">
        <f>0.9*0.9*0.25*8</f>
        <v>1.62</v>
      </c>
      <c r="D23" s="41" t="s">
        <v>19</v>
      </c>
      <c r="E23" s="47"/>
      <c r="F23" s="44">
        <f t="shared" si="2"/>
        <v>0</v>
      </c>
      <c r="G23" s="49"/>
    </row>
    <row r="24" spans="1:7" ht="15.75" x14ac:dyDescent="0.25">
      <c r="A24" s="37" t="s">
        <v>38</v>
      </c>
      <c r="B24" s="45" t="s">
        <v>39</v>
      </c>
      <c r="C24" s="29">
        <f>0.2*0.15*2.35*8</f>
        <v>0.56399999999999995</v>
      </c>
      <c r="D24" s="41" t="s">
        <v>19</v>
      </c>
      <c r="E24" s="47"/>
      <c r="F24" s="44">
        <f t="shared" si="2"/>
        <v>0</v>
      </c>
      <c r="G24" s="49"/>
    </row>
    <row r="25" spans="1:7" ht="15.75" x14ac:dyDescent="0.25">
      <c r="A25" s="37" t="s">
        <v>40</v>
      </c>
      <c r="B25" s="45" t="s">
        <v>41</v>
      </c>
      <c r="C25" s="29">
        <f>73*0.15*0.2</f>
        <v>2.19</v>
      </c>
      <c r="D25" s="41" t="s">
        <v>19</v>
      </c>
      <c r="E25" s="47"/>
      <c r="F25" s="44">
        <f t="shared" si="2"/>
        <v>0</v>
      </c>
      <c r="G25" s="49"/>
    </row>
    <row r="26" spans="1:7" ht="15.75" x14ac:dyDescent="0.25">
      <c r="A26" s="37">
        <f>A21+0.1</f>
        <v>2.4000000000000004</v>
      </c>
      <c r="B26" s="45" t="s">
        <v>42</v>
      </c>
      <c r="C26" s="29">
        <f>(2.35*(73-4))</f>
        <v>162.15</v>
      </c>
      <c r="D26" s="46" t="s">
        <v>43</v>
      </c>
      <c r="E26" s="47"/>
      <c r="F26" s="44">
        <f t="shared" si="2"/>
        <v>0</v>
      </c>
      <c r="G26" s="49"/>
    </row>
    <row r="27" spans="1:7" ht="15.75" x14ac:dyDescent="0.25">
      <c r="A27" s="37">
        <f>A26+0.1</f>
        <v>2.5000000000000004</v>
      </c>
      <c r="B27" s="45" t="s">
        <v>44</v>
      </c>
      <c r="C27" s="29">
        <f>(1.6*(73-4))*2</f>
        <v>220.8</v>
      </c>
      <c r="D27" s="46" t="s">
        <v>43</v>
      </c>
      <c r="E27" s="47"/>
      <c r="F27" s="44">
        <f t="shared" si="2"/>
        <v>0</v>
      </c>
      <c r="G27" s="49"/>
    </row>
    <row r="28" spans="1:7" ht="30" x14ac:dyDescent="0.25">
      <c r="A28" s="37">
        <f t="shared" ref="A28:A29" si="3">A27+0.1</f>
        <v>2.6000000000000005</v>
      </c>
      <c r="B28" s="45" t="s">
        <v>45</v>
      </c>
      <c r="C28" s="29">
        <v>1</v>
      </c>
      <c r="D28" s="46" t="s">
        <v>46</v>
      </c>
      <c r="E28" s="47"/>
      <c r="F28" s="44">
        <f t="shared" si="2"/>
        <v>0</v>
      </c>
      <c r="G28" s="49"/>
    </row>
    <row r="29" spans="1:7" ht="15.75" x14ac:dyDescent="0.25">
      <c r="A29" s="37">
        <f t="shared" si="3"/>
        <v>2.7000000000000006</v>
      </c>
      <c r="B29" s="45" t="s">
        <v>47</v>
      </c>
      <c r="C29" s="29">
        <f>73</f>
        <v>73</v>
      </c>
      <c r="D29" s="46" t="s">
        <v>25</v>
      </c>
      <c r="E29" s="47"/>
      <c r="F29" s="44">
        <f t="shared" si="2"/>
        <v>0</v>
      </c>
      <c r="G29" s="49">
        <f>SUM(F16:F29)</f>
        <v>0</v>
      </c>
    </row>
    <row r="30" spans="1:7" ht="15.75" x14ac:dyDescent="0.25">
      <c r="A30" s="50"/>
      <c r="B30" s="51"/>
      <c r="C30" s="29"/>
      <c r="D30" s="46"/>
      <c r="E30" s="47"/>
      <c r="F30" s="44"/>
      <c r="G30" s="49"/>
    </row>
    <row r="31" spans="1:7" ht="31.5" x14ac:dyDescent="0.25">
      <c r="A31" s="32">
        <v>3</v>
      </c>
      <c r="B31" s="51" t="s">
        <v>48</v>
      </c>
      <c r="C31" s="52"/>
      <c r="D31" s="46"/>
      <c r="E31" s="47"/>
      <c r="F31" s="48"/>
      <c r="G31" s="49"/>
    </row>
    <row r="32" spans="1:7" ht="30" x14ac:dyDescent="0.25">
      <c r="A32" s="37">
        <f>A31+0.1</f>
        <v>3.1</v>
      </c>
      <c r="B32" s="45" t="s">
        <v>49</v>
      </c>
      <c r="C32" s="52">
        <v>4</v>
      </c>
      <c r="D32" s="46" t="s">
        <v>50</v>
      </c>
      <c r="E32" s="47"/>
      <c r="F32" s="44">
        <f t="shared" ref="F32:F42" si="4">+C32*E32</f>
        <v>0</v>
      </c>
      <c r="G32" s="49"/>
    </row>
    <row r="33" spans="1:7" ht="30" x14ac:dyDescent="0.25">
      <c r="A33" s="37">
        <f t="shared" ref="A33:A36" si="5">A32+0.1</f>
        <v>3.2</v>
      </c>
      <c r="B33" s="45" t="s">
        <v>51</v>
      </c>
      <c r="C33" s="52">
        <v>1</v>
      </c>
      <c r="D33" s="46" t="s">
        <v>52</v>
      </c>
      <c r="E33" s="47"/>
      <c r="F33" s="44">
        <f t="shared" si="4"/>
        <v>0</v>
      </c>
      <c r="G33" s="49"/>
    </row>
    <row r="34" spans="1:7" ht="30" x14ac:dyDescent="0.25">
      <c r="A34" s="37">
        <f t="shared" si="5"/>
        <v>3.3000000000000003</v>
      </c>
      <c r="B34" s="45" t="s">
        <v>53</v>
      </c>
      <c r="C34" s="52">
        <v>5</v>
      </c>
      <c r="D34" s="46" t="s">
        <v>54</v>
      </c>
      <c r="E34" s="47"/>
      <c r="F34" s="44">
        <f t="shared" si="4"/>
        <v>0</v>
      </c>
      <c r="G34" s="49"/>
    </row>
    <row r="35" spans="1:7" ht="30" x14ac:dyDescent="0.25">
      <c r="A35" s="37">
        <f t="shared" si="5"/>
        <v>3.4000000000000004</v>
      </c>
      <c r="B35" s="45" t="s">
        <v>55</v>
      </c>
      <c r="C35" s="52">
        <v>178.13</v>
      </c>
      <c r="D35" s="46" t="s">
        <v>54</v>
      </c>
      <c r="E35" s="47"/>
      <c r="F35" s="44">
        <f t="shared" si="4"/>
        <v>0</v>
      </c>
      <c r="G35" s="49"/>
    </row>
    <row r="36" spans="1:7" ht="15.75" x14ac:dyDescent="0.25">
      <c r="A36" s="37">
        <f t="shared" si="5"/>
        <v>3.5000000000000004</v>
      </c>
      <c r="B36" s="45" t="s">
        <v>56</v>
      </c>
      <c r="C36" s="52"/>
      <c r="D36" s="46"/>
      <c r="E36" s="47"/>
      <c r="F36" s="44"/>
      <c r="G36" s="49"/>
    </row>
    <row r="37" spans="1:7" ht="15.75" x14ac:dyDescent="0.25">
      <c r="A37" s="37" t="s">
        <v>57</v>
      </c>
      <c r="B37" s="45" t="s">
        <v>58</v>
      </c>
      <c r="C37" s="52">
        <v>40.32</v>
      </c>
      <c r="D37" s="46" t="s">
        <v>54</v>
      </c>
      <c r="E37" s="47"/>
      <c r="F37" s="44">
        <f t="shared" si="4"/>
        <v>0</v>
      </c>
      <c r="G37" s="49"/>
    </row>
    <row r="38" spans="1:7" ht="15.75" x14ac:dyDescent="0.25">
      <c r="A38" s="37" t="s">
        <v>59</v>
      </c>
      <c r="B38" s="45" t="s">
        <v>60</v>
      </c>
      <c r="C38" s="52">
        <v>75.84</v>
      </c>
      <c r="D38" s="46" t="s">
        <v>54</v>
      </c>
      <c r="E38" s="47"/>
      <c r="F38" s="44">
        <f t="shared" si="4"/>
        <v>0</v>
      </c>
      <c r="G38" s="49"/>
    </row>
    <row r="39" spans="1:7" ht="15.75" x14ac:dyDescent="0.25">
      <c r="A39" s="37" t="s">
        <v>61</v>
      </c>
      <c r="B39" s="45" t="s">
        <v>62</v>
      </c>
      <c r="C39" s="52">
        <v>143.26</v>
      </c>
      <c r="D39" s="46" t="s">
        <v>54</v>
      </c>
      <c r="E39" s="47"/>
      <c r="F39" s="44">
        <f t="shared" si="4"/>
        <v>0</v>
      </c>
      <c r="G39" s="49"/>
    </row>
    <row r="40" spans="1:7" ht="15.75" x14ac:dyDescent="0.25">
      <c r="A40" s="37" t="s">
        <v>63</v>
      </c>
      <c r="B40" s="45" t="s">
        <v>64</v>
      </c>
      <c r="C40" s="52">
        <v>1</v>
      </c>
      <c r="D40" s="46" t="s">
        <v>10</v>
      </c>
      <c r="E40" s="47"/>
      <c r="F40" s="44">
        <f t="shared" si="4"/>
        <v>0</v>
      </c>
      <c r="G40" s="49"/>
    </row>
    <row r="41" spans="1:7" ht="15.75" x14ac:dyDescent="0.25">
      <c r="A41" s="37">
        <f>A36+0.1</f>
        <v>3.6000000000000005</v>
      </c>
      <c r="B41" s="45" t="s">
        <v>65</v>
      </c>
      <c r="C41" s="52">
        <v>7</v>
      </c>
      <c r="D41" s="46" t="s">
        <v>10</v>
      </c>
      <c r="E41" s="47"/>
      <c r="F41" s="44">
        <f t="shared" si="4"/>
        <v>0</v>
      </c>
      <c r="G41" s="49"/>
    </row>
    <row r="42" spans="1:7" ht="15.75" x14ac:dyDescent="0.25">
      <c r="A42" s="37">
        <f>A41+0.1</f>
        <v>3.7000000000000006</v>
      </c>
      <c r="B42" s="45" t="s">
        <v>66</v>
      </c>
      <c r="C42" s="52">
        <v>1</v>
      </c>
      <c r="D42" s="46" t="s">
        <v>52</v>
      </c>
      <c r="E42" s="47"/>
      <c r="F42" s="44">
        <f t="shared" si="4"/>
        <v>0</v>
      </c>
      <c r="G42" s="49">
        <f>SUM(F32:F42)</f>
        <v>0</v>
      </c>
    </row>
    <row r="43" spans="1:7" ht="16.5" thickBot="1" x14ac:dyDescent="0.3">
      <c r="A43" s="53"/>
      <c r="B43" s="54"/>
      <c r="C43" s="55"/>
      <c r="D43" s="56"/>
      <c r="E43" s="57"/>
      <c r="F43" s="58"/>
      <c r="G43" s="59"/>
    </row>
    <row r="44" spans="1:7" ht="16.5" thickTop="1" x14ac:dyDescent="0.25">
      <c r="A44" s="60">
        <v>4</v>
      </c>
      <c r="B44" s="51" t="s">
        <v>67</v>
      </c>
      <c r="C44" s="61"/>
      <c r="D44" s="46"/>
      <c r="E44" s="62"/>
      <c r="F44" s="61"/>
      <c r="G44" s="63"/>
    </row>
    <row r="45" spans="1:7" ht="15.75" x14ac:dyDescent="0.25">
      <c r="A45" s="64">
        <f>A44+0.1</f>
        <v>4.0999999999999996</v>
      </c>
      <c r="B45" s="65" t="s">
        <v>68</v>
      </c>
      <c r="C45" s="66">
        <v>2</v>
      </c>
      <c r="D45" s="67" t="s">
        <v>69</v>
      </c>
      <c r="E45" s="68"/>
      <c r="F45" s="29">
        <f>+C45*E45</f>
        <v>0</v>
      </c>
      <c r="G45" s="69"/>
    </row>
    <row r="46" spans="1:7" ht="15.75" x14ac:dyDescent="0.25">
      <c r="A46" s="64">
        <f>A45+0.1</f>
        <v>4.1999999999999993</v>
      </c>
      <c r="B46" s="65" t="s">
        <v>70</v>
      </c>
      <c r="C46" s="66">
        <v>2</v>
      </c>
      <c r="D46" s="67" t="s">
        <v>69</v>
      </c>
      <c r="E46" s="68"/>
      <c r="F46" s="29">
        <f>+C46*E46</f>
        <v>0</v>
      </c>
      <c r="G46" s="69">
        <f>SUM(F45:F46)</f>
        <v>0</v>
      </c>
    </row>
    <row r="47" spans="1:7" ht="15.75" x14ac:dyDescent="0.25">
      <c r="A47" s="64"/>
      <c r="B47" s="65"/>
      <c r="C47" s="66"/>
      <c r="D47" s="67"/>
      <c r="E47" s="68"/>
      <c r="F47" s="66"/>
      <c r="G47" s="69"/>
    </row>
    <row r="48" spans="1:7" ht="31.5" x14ac:dyDescent="0.25">
      <c r="A48" s="32">
        <v>5</v>
      </c>
      <c r="B48" s="70" t="s">
        <v>71</v>
      </c>
      <c r="C48" s="39"/>
      <c r="D48" s="34"/>
      <c r="E48" s="40"/>
      <c r="F48" s="34"/>
      <c r="G48" s="36"/>
    </row>
    <row r="49" spans="1:7" ht="15.75" x14ac:dyDescent="0.25">
      <c r="A49" s="37">
        <f t="shared" ref="A49:A54" si="6">A48+0.1</f>
        <v>5.0999999999999996</v>
      </c>
      <c r="B49" s="71" t="s">
        <v>72</v>
      </c>
      <c r="C49" s="29">
        <v>1</v>
      </c>
      <c r="D49" s="41" t="s">
        <v>16</v>
      </c>
      <c r="E49" s="40"/>
      <c r="F49" s="29">
        <f>+C49*E49</f>
        <v>0</v>
      </c>
      <c r="G49" s="36"/>
    </row>
    <row r="50" spans="1:7" ht="15.75" x14ac:dyDescent="0.25">
      <c r="A50" s="37">
        <f>A49+0.1</f>
        <v>5.1999999999999993</v>
      </c>
      <c r="B50" s="43" t="s">
        <v>24</v>
      </c>
      <c r="C50" s="29">
        <v>1</v>
      </c>
      <c r="D50" s="41" t="s">
        <v>16</v>
      </c>
      <c r="E50" s="72"/>
      <c r="F50" s="29">
        <f>+C50*E50</f>
        <v>0</v>
      </c>
      <c r="G50" s="42"/>
    </row>
    <row r="51" spans="1:7" x14ac:dyDescent="0.25">
      <c r="A51" s="37">
        <f t="shared" si="6"/>
        <v>5.2999999999999989</v>
      </c>
      <c r="B51" s="43" t="s">
        <v>73</v>
      </c>
      <c r="C51" s="29">
        <f>0.8*0.45*(1.6*3+2.85*2)</f>
        <v>3.7800000000000002</v>
      </c>
      <c r="D51" s="41" t="s">
        <v>19</v>
      </c>
      <c r="E51" s="72"/>
      <c r="F51" s="29">
        <f>+C51*E51</f>
        <v>0</v>
      </c>
      <c r="G51" s="73"/>
    </row>
    <row r="52" spans="1:7" ht="15.75" x14ac:dyDescent="0.25">
      <c r="A52" s="37">
        <f t="shared" si="6"/>
        <v>5.3999999999999986</v>
      </c>
      <c r="B52" s="43" t="s">
        <v>30</v>
      </c>
      <c r="C52" s="29">
        <f>0.6*0.3*(1.6*3+2.85*2)</f>
        <v>1.89</v>
      </c>
      <c r="D52" s="41" t="s">
        <v>19</v>
      </c>
      <c r="E52" s="72"/>
      <c r="F52" s="29">
        <f>+C52*E52</f>
        <v>0</v>
      </c>
      <c r="G52" s="42"/>
    </row>
    <row r="53" spans="1:7" ht="15.75" x14ac:dyDescent="0.25">
      <c r="A53" s="37">
        <f t="shared" si="6"/>
        <v>5.4999999999999982</v>
      </c>
      <c r="B53" s="38" t="s">
        <v>74</v>
      </c>
      <c r="C53" s="29">
        <f>(C51-C52)*1.2</f>
        <v>2.2680000000000002</v>
      </c>
      <c r="D53" s="41" t="s">
        <v>19</v>
      </c>
      <c r="E53" s="72"/>
      <c r="F53" s="29">
        <f>+C53*E53</f>
        <v>0</v>
      </c>
      <c r="G53" s="42"/>
    </row>
    <row r="54" spans="1:7" ht="15.75" x14ac:dyDescent="0.25">
      <c r="A54" s="50">
        <f t="shared" si="6"/>
        <v>5.5999999999999979</v>
      </c>
      <c r="B54" s="33" t="s">
        <v>33</v>
      </c>
      <c r="C54" s="29"/>
      <c r="D54" s="41"/>
      <c r="E54" s="72"/>
      <c r="F54" s="29"/>
      <c r="G54" s="73"/>
    </row>
    <row r="55" spans="1:7" x14ac:dyDescent="0.25">
      <c r="A55" s="74" t="s">
        <v>75</v>
      </c>
      <c r="B55" s="43" t="s">
        <v>76</v>
      </c>
      <c r="C55" s="44">
        <f>(1.6*3+2.85*2)*0.45*0.2</f>
        <v>0.94500000000000017</v>
      </c>
      <c r="D55" s="41" t="s">
        <v>19</v>
      </c>
      <c r="E55" s="27"/>
      <c r="F55" s="44">
        <f>+C55*E55</f>
        <v>0</v>
      </c>
      <c r="G55" s="75"/>
    </row>
    <row r="56" spans="1:7" ht="15.75" x14ac:dyDescent="0.25">
      <c r="A56" s="74" t="s">
        <v>77</v>
      </c>
      <c r="B56" s="43" t="s">
        <v>78</v>
      </c>
      <c r="C56" s="29">
        <f>1.6*2.85*0.1</f>
        <v>0.45600000000000007</v>
      </c>
      <c r="D56" s="41" t="s">
        <v>19</v>
      </c>
      <c r="E56" s="72"/>
      <c r="F56" s="44">
        <f>+C56*E56</f>
        <v>0</v>
      </c>
      <c r="G56" s="42"/>
    </row>
    <row r="57" spans="1:7" x14ac:dyDescent="0.25">
      <c r="A57" s="74" t="s">
        <v>79</v>
      </c>
      <c r="B57" s="43" t="s">
        <v>80</v>
      </c>
      <c r="C57" s="76">
        <f>0.15*0.2*(2.85*2+1.6*3)*2</f>
        <v>0.63</v>
      </c>
      <c r="D57" s="41" t="s">
        <v>19</v>
      </c>
      <c r="E57" s="72"/>
      <c r="F57" s="44">
        <f>+C57*E57</f>
        <v>0</v>
      </c>
      <c r="G57" s="73"/>
    </row>
    <row r="58" spans="1:7" ht="15.75" x14ac:dyDescent="0.25">
      <c r="A58" s="74" t="s">
        <v>81</v>
      </c>
      <c r="B58" s="43" t="s">
        <v>82</v>
      </c>
      <c r="C58" s="29">
        <f>2.5*3.45*0.1</f>
        <v>0.86250000000000004</v>
      </c>
      <c r="D58" s="41" t="s">
        <v>19</v>
      </c>
      <c r="E58" s="72"/>
      <c r="F58" s="44">
        <f>+C58*E58</f>
        <v>0</v>
      </c>
      <c r="G58" s="42"/>
    </row>
    <row r="59" spans="1:7" ht="15.75" x14ac:dyDescent="0.25">
      <c r="A59" s="50">
        <f>A54+0.1</f>
        <v>5.6999999999999975</v>
      </c>
      <c r="B59" s="33" t="s">
        <v>83</v>
      </c>
      <c r="C59" s="29"/>
      <c r="D59" s="41"/>
      <c r="E59" s="72"/>
      <c r="F59" s="29"/>
      <c r="G59" s="42"/>
    </row>
    <row r="60" spans="1:7" ht="15.75" x14ac:dyDescent="0.25">
      <c r="A60" s="74" t="s">
        <v>84</v>
      </c>
      <c r="B60" s="38" t="s">
        <v>85</v>
      </c>
      <c r="C60" s="29">
        <f>2.1*(1.6*3+2.85*2)-(2.1*0.8+1.1*1.2)</f>
        <v>19.05</v>
      </c>
      <c r="D60" s="41" t="s">
        <v>43</v>
      </c>
      <c r="E60" s="72"/>
      <c r="F60" s="44">
        <f t="shared" ref="F60:F69" si="7">+C60*E60</f>
        <v>0</v>
      </c>
      <c r="G60" s="42"/>
    </row>
    <row r="61" spans="1:7" ht="15.75" x14ac:dyDescent="0.25">
      <c r="A61" s="74" t="s">
        <v>86</v>
      </c>
      <c r="B61" s="38" t="s">
        <v>87</v>
      </c>
      <c r="C61" s="29">
        <f>(2.1*0.8+1.1*1.2)</f>
        <v>3</v>
      </c>
      <c r="D61" s="41" t="s">
        <v>43</v>
      </c>
      <c r="E61" s="72"/>
      <c r="F61" s="44">
        <f t="shared" si="7"/>
        <v>0</v>
      </c>
      <c r="G61" s="42"/>
    </row>
    <row r="62" spans="1:7" x14ac:dyDescent="0.25">
      <c r="A62" s="37">
        <f>A59+0.1</f>
        <v>5.7999999999999972</v>
      </c>
      <c r="B62" s="43" t="s">
        <v>88</v>
      </c>
      <c r="C62" s="29">
        <f>C60*2+C58/0.1+10</f>
        <v>56.725000000000001</v>
      </c>
      <c r="D62" s="41" t="s">
        <v>43</v>
      </c>
      <c r="E62" s="72"/>
      <c r="F62" s="29">
        <f t="shared" si="7"/>
        <v>0</v>
      </c>
      <c r="G62" s="73"/>
    </row>
    <row r="63" spans="1:7" ht="15.75" x14ac:dyDescent="0.25">
      <c r="A63" s="37">
        <f>A62+0.1</f>
        <v>5.8999999999999968</v>
      </c>
      <c r="B63" s="43" t="s">
        <v>89</v>
      </c>
      <c r="C63" s="29">
        <f>C58/0.1</f>
        <v>8.625</v>
      </c>
      <c r="D63" s="41" t="s">
        <v>43</v>
      </c>
      <c r="E63" s="72"/>
      <c r="F63" s="29">
        <f t="shared" si="7"/>
        <v>0</v>
      </c>
      <c r="G63" s="42"/>
    </row>
    <row r="64" spans="1:7" ht="15.75" x14ac:dyDescent="0.25">
      <c r="A64" s="77">
        <f>A63-0.8</f>
        <v>5.099999999999997</v>
      </c>
      <c r="B64" s="43" t="s">
        <v>90</v>
      </c>
      <c r="C64" s="29">
        <f>2.1*4*5+0.9*2*2+1.2*4+0.8*4</f>
        <v>53.6</v>
      </c>
      <c r="D64" s="41" t="s">
        <v>25</v>
      </c>
      <c r="E64" s="72"/>
      <c r="F64" s="29">
        <f t="shared" si="7"/>
        <v>0</v>
      </c>
      <c r="G64" s="42"/>
    </row>
    <row r="65" spans="1:7" ht="15.75" x14ac:dyDescent="0.25">
      <c r="A65" s="77">
        <f>A64+0.01</f>
        <v>5.1099999999999968</v>
      </c>
      <c r="B65" s="38" t="s">
        <v>91</v>
      </c>
      <c r="C65" s="29">
        <f>3.45*2.5</f>
        <v>8.625</v>
      </c>
      <c r="D65" s="41" t="s">
        <v>43</v>
      </c>
      <c r="E65" s="72"/>
      <c r="F65" s="29">
        <f t="shared" si="7"/>
        <v>0</v>
      </c>
      <c r="G65" s="42"/>
    </row>
    <row r="66" spans="1:7" ht="15.75" x14ac:dyDescent="0.25">
      <c r="A66" s="77">
        <f>A65+0.01</f>
        <v>5.1199999999999966</v>
      </c>
      <c r="B66" s="38" t="s">
        <v>92</v>
      </c>
      <c r="C66" s="29">
        <f>C62</f>
        <v>56.725000000000001</v>
      </c>
      <c r="D66" s="41" t="s">
        <v>43</v>
      </c>
      <c r="E66" s="72"/>
      <c r="F66" s="29">
        <f t="shared" si="7"/>
        <v>0</v>
      </c>
      <c r="G66" s="42"/>
    </row>
    <row r="67" spans="1:7" ht="15.75" x14ac:dyDescent="0.25">
      <c r="A67" s="77">
        <f>A66+0.01</f>
        <v>5.1299999999999963</v>
      </c>
      <c r="B67" s="43" t="s">
        <v>93</v>
      </c>
      <c r="C67" s="29">
        <v>2</v>
      </c>
      <c r="D67" s="41" t="s">
        <v>46</v>
      </c>
      <c r="E67" s="72"/>
      <c r="F67" s="29">
        <f t="shared" si="7"/>
        <v>0</v>
      </c>
      <c r="G67" s="42"/>
    </row>
    <row r="68" spans="1:7" ht="15.75" x14ac:dyDescent="0.25">
      <c r="A68" s="77">
        <f>A67+0.01</f>
        <v>5.1399999999999961</v>
      </c>
      <c r="B68" s="38" t="s">
        <v>94</v>
      </c>
      <c r="C68" s="29">
        <v>1</v>
      </c>
      <c r="D68" s="41" t="s">
        <v>16</v>
      </c>
      <c r="E68" s="72"/>
      <c r="F68" s="29">
        <f t="shared" si="7"/>
        <v>0</v>
      </c>
      <c r="G68" s="42"/>
    </row>
    <row r="69" spans="1:7" ht="15.75" x14ac:dyDescent="0.25">
      <c r="A69" s="77">
        <f>A68+0.01</f>
        <v>5.1499999999999959</v>
      </c>
      <c r="B69" s="38" t="s">
        <v>66</v>
      </c>
      <c r="C69" s="29">
        <v>1</v>
      </c>
      <c r="D69" s="41" t="s">
        <v>16</v>
      </c>
      <c r="E69" s="72"/>
      <c r="F69" s="29">
        <f t="shared" si="7"/>
        <v>0</v>
      </c>
      <c r="G69" s="42">
        <f>SUM(F49:F69)</f>
        <v>0</v>
      </c>
    </row>
    <row r="70" spans="1:7" ht="15.75" x14ac:dyDescent="0.25">
      <c r="A70" s="25"/>
      <c r="B70" s="78"/>
      <c r="C70" s="31"/>
      <c r="D70" s="31"/>
      <c r="E70" s="31"/>
      <c r="F70" s="29"/>
      <c r="G70" s="24"/>
    </row>
    <row r="71" spans="1:7" ht="15.75" x14ac:dyDescent="0.25">
      <c r="A71" s="32">
        <v>6</v>
      </c>
      <c r="B71" s="33" t="s">
        <v>95</v>
      </c>
      <c r="C71" s="79"/>
      <c r="D71" s="80"/>
      <c r="E71" s="81"/>
      <c r="F71" s="79"/>
      <c r="G71" s="82"/>
    </row>
    <row r="72" spans="1:7" ht="30" x14ac:dyDescent="0.25">
      <c r="A72" s="37">
        <f>+A71+0.1</f>
        <v>6.1</v>
      </c>
      <c r="B72" s="38" t="s">
        <v>96</v>
      </c>
      <c r="C72" s="79">
        <v>2</v>
      </c>
      <c r="D72" s="83" t="s">
        <v>10</v>
      </c>
      <c r="E72" s="81"/>
      <c r="F72" s="81">
        <f>E72*C72</f>
        <v>0</v>
      </c>
      <c r="G72" s="84"/>
    </row>
    <row r="73" spans="1:7" ht="15.75" x14ac:dyDescent="0.25">
      <c r="A73" s="37">
        <f>+A72+0.1</f>
        <v>6.1999999999999993</v>
      </c>
      <c r="B73" s="38" t="s">
        <v>97</v>
      </c>
      <c r="C73" s="85">
        <f>35*3.28*3*2</f>
        <v>688.8</v>
      </c>
      <c r="D73" s="83" t="s">
        <v>98</v>
      </c>
      <c r="E73" s="81"/>
      <c r="F73" s="81">
        <f t="shared" ref="F73:F86" si="8">+C73*E73</f>
        <v>0</v>
      </c>
      <c r="G73" s="84"/>
    </row>
    <row r="74" spans="1:7" ht="15.75" x14ac:dyDescent="0.25">
      <c r="A74" s="37">
        <f t="shared" ref="A74:A80" si="9">+A73+0.1</f>
        <v>6.2999999999999989</v>
      </c>
      <c r="B74" s="38" t="s">
        <v>99</v>
      </c>
      <c r="C74" s="79">
        <v>2</v>
      </c>
      <c r="D74" s="83" t="s">
        <v>100</v>
      </c>
      <c r="E74" s="81"/>
      <c r="F74" s="81">
        <f t="shared" si="8"/>
        <v>0</v>
      </c>
      <c r="G74" s="84"/>
    </row>
    <row r="75" spans="1:7" ht="15.75" x14ac:dyDescent="0.25">
      <c r="A75" s="37">
        <f t="shared" si="9"/>
        <v>6.3999999999999986</v>
      </c>
      <c r="B75" s="38" t="s">
        <v>101</v>
      </c>
      <c r="C75" s="79">
        <v>2</v>
      </c>
      <c r="D75" s="83" t="s">
        <v>10</v>
      </c>
      <c r="E75" s="81"/>
      <c r="F75" s="81">
        <f t="shared" si="8"/>
        <v>0</v>
      </c>
      <c r="G75" s="84"/>
    </row>
    <row r="76" spans="1:7" ht="15.75" x14ac:dyDescent="0.25">
      <c r="A76" s="37">
        <f t="shared" si="9"/>
        <v>6.4999999999999982</v>
      </c>
      <c r="B76" s="38" t="s">
        <v>102</v>
      </c>
      <c r="C76" s="79">
        <v>2</v>
      </c>
      <c r="D76" s="83" t="s">
        <v>10</v>
      </c>
      <c r="E76" s="81"/>
      <c r="F76" s="81">
        <f t="shared" si="8"/>
        <v>0</v>
      </c>
      <c r="G76" s="84"/>
    </row>
    <row r="77" spans="1:7" ht="15.75" x14ac:dyDescent="0.25">
      <c r="A77" s="37">
        <f t="shared" si="9"/>
        <v>6.5999999999999979</v>
      </c>
      <c r="B77" s="38" t="s">
        <v>103</v>
      </c>
      <c r="C77" s="79">
        <v>2</v>
      </c>
      <c r="D77" s="83" t="s">
        <v>10</v>
      </c>
      <c r="E77" s="81"/>
      <c r="F77" s="81">
        <f t="shared" si="8"/>
        <v>0</v>
      </c>
      <c r="G77" s="84"/>
    </row>
    <row r="78" spans="1:7" ht="15.75" x14ac:dyDescent="0.25">
      <c r="A78" s="37">
        <f t="shared" si="9"/>
        <v>6.6999999999999975</v>
      </c>
      <c r="B78" s="38" t="s">
        <v>104</v>
      </c>
      <c r="C78" s="79">
        <v>2</v>
      </c>
      <c r="D78" s="83" t="s">
        <v>10</v>
      </c>
      <c r="E78" s="81"/>
      <c r="F78" s="81">
        <f t="shared" si="8"/>
        <v>0</v>
      </c>
      <c r="G78" s="84"/>
    </row>
    <row r="79" spans="1:7" ht="15.75" x14ac:dyDescent="0.25">
      <c r="A79" s="37">
        <f t="shared" si="9"/>
        <v>6.7999999999999972</v>
      </c>
      <c r="B79" s="38" t="s">
        <v>105</v>
      </c>
      <c r="C79" s="79">
        <v>2</v>
      </c>
      <c r="D79" s="83" t="s">
        <v>10</v>
      </c>
      <c r="E79" s="81"/>
      <c r="F79" s="81">
        <f t="shared" si="8"/>
        <v>0</v>
      </c>
      <c r="G79" s="84"/>
    </row>
    <row r="80" spans="1:7" ht="15.75" x14ac:dyDescent="0.25">
      <c r="A80" s="37">
        <f t="shared" si="9"/>
        <v>6.8999999999999968</v>
      </c>
      <c r="B80" s="38" t="s">
        <v>106</v>
      </c>
      <c r="C80" s="79">
        <v>2</v>
      </c>
      <c r="D80" s="83" t="s">
        <v>10</v>
      </c>
      <c r="E80" s="81"/>
      <c r="F80" s="81">
        <f t="shared" si="8"/>
        <v>0</v>
      </c>
      <c r="G80" s="84"/>
    </row>
    <row r="81" spans="1:7" ht="15.75" x14ac:dyDescent="0.25">
      <c r="A81" s="77">
        <f>+A72</f>
        <v>6.1</v>
      </c>
      <c r="B81" s="38" t="s">
        <v>107</v>
      </c>
      <c r="C81" s="79">
        <v>6</v>
      </c>
      <c r="D81" s="83" t="s">
        <v>10</v>
      </c>
      <c r="E81" s="81"/>
      <c r="F81" s="81">
        <f t="shared" si="8"/>
        <v>0</v>
      </c>
      <c r="G81" s="84"/>
    </row>
    <row r="82" spans="1:7" ht="15.75" x14ac:dyDescent="0.25">
      <c r="A82" s="77">
        <f>+A81+0.01</f>
        <v>6.1099999999999994</v>
      </c>
      <c r="B82" s="38" t="s">
        <v>108</v>
      </c>
      <c r="C82" s="79">
        <v>2</v>
      </c>
      <c r="D82" s="83" t="s">
        <v>10</v>
      </c>
      <c r="E82" s="81"/>
      <c r="F82" s="81">
        <f t="shared" si="8"/>
        <v>0</v>
      </c>
      <c r="G82" s="84"/>
    </row>
    <row r="83" spans="1:7" ht="15.75" x14ac:dyDescent="0.25">
      <c r="A83" s="77">
        <f>+A82+0.01</f>
        <v>6.1199999999999992</v>
      </c>
      <c r="B83" s="38" t="s">
        <v>109</v>
      </c>
      <c r="C83" s="79">
        <v>2</v>
      </c>
      <c r="D83" s="83" t="s">
        <v>10</v>
      </c>
      <c r="E83" s="81"/>
      <c r="F83" s="81">
        <f t="shared" si="8"/>
        <v>0</v>
      </c>
      <c r="G83" s="84"/>
    </row>
    <row r="84" spans="1:7" ht="15.75" x14ac:dyDescent="0.25">
      <c r="A84" s="77">
        <f>+A83+0.01</f>
        <v>6.129999999999999</v>
      </c>
      <c r="B84" s="38" t="s">
        <v>110</v>
      </c>
      <c r="C84" s="79">
        <v>2</v>
      </c>
      <c r="D84" s="83" t="s">
        <v>10</v>
      </c>
      <c r="E84" s="81"/>
      <c r="F84" s="81">
        <f t="shared" si="8"/>
        <v>0</v>
      </c>
      <c r="G84" s="82"/>
    </row>
    <row r="85" spans="1:7" ht="15.75" x14ac:dyDescent="0.25">
      <c r="A85" s="77">
        <f>+A84+0.01</f>
        <v>6.1399999999999988</v>
      </c>
      <c r="B85" s="38" t="s">
        <v>111</v>
      </c>
      <c r="C85" s="79">
        <f>1.2*0.6*20*2</f>
        <v>28.799999999999997</v>
      </c>
      <c r="D85" s="80" t="s">
        <v>112</v>
      </c>
      <c r="E85" s="81"/>
      <c r="F85" s="79">
        <f t="shared" si="8"/>
        <v>0</v>
      </c>
      <c r="G85" s="82"/>
    </row>
    <row r="86" spans="1:7" ht="15.75" x14ac:dyDescent="0.25">
      <c r="A86" s="77">
        <f>+A85+0.01</f>
        <v>6.1499999999999986</v>
      </c>
      <c r="B86" s="38" t="s">
        <v>113</v>
      </c>
      <c r="C86" s="79">
        <v>1</v>
      </c>
      <c r="D86" s="80" t="s">
        <v>52</v>
      </c>
      <c r="E86" s="81"/>
      <c r="F86" s="79">
        <f t="shared" si="8"/>
        <v>0</v>
      </c>
      <c r="G86" s="82">
        <f>SUM(F72:F86)</f>
        <v>0</v>
      </c>
    </row>
    <row r="87" spans="1:7" ht="16.5" thickBot="1" x14ac:dyDescent="0.3">
      <c r="A87" s="86"/>
      <c r="B87" s="87"/>
      <c r="C87" s="88"/>
      <c r="D87" s="89"/>
      <c r="E87" s="90"/>
      <c r="F87" s="88"/>
      <c r="G87" s="91"/>
    </row>
    <row r="88" spans="1:7" ht="16.5" thickTop="1" x14ac:dyDescent="0.25">
      <c r="A88" s="92">
        <v>7</v>
      </c>
      <c r="B88" s="93" t="s">
        <v>114</v>
      </c>
      <c r="C88" s="94"/>
      <c r="D88" s="95"/>
      <c r="E88" s="96"/>
      <c r="F88" s="94"/>
      <c r="G88" s="97"/>
    </row>
    <row r="89" spans="1:7" ht="15.75" x14ac:dyDescent="0.25">
      <c r="A89" s="37">
        <f>+A88+0.1</f>
        <v>7.1</v>
      </c>
      <c r="B89" s="38" t="s">
        <v>115</v>
      </c>
      <c r="C89" s="79">
        <v>6</v>
      </c>
      <c r="D89" s="83" t="s">
        <v>10</v>
      </c>
      <c r="E89" s="81"/>
      <c r="F89" s="79">
        <f t="shared" ref="F89:F123" si="10">+C89*E89</f>
        <v>0</v>
      </c>
      <c r="G89" s="82"/>
    </row>
    <row r="90" spans="1:7" ht="15.75" x14ac:dyDescent="0.25">
      <c r="A90" s="37">
        <f t="shared" ref="A90:A97" si="11">+A89+0.1</f>
        <v>7.1999999999999993</v>
      </c>
      <c r="B90" s="38" t="s">
        <v>116</v>
      </c>
      <c r="C90" s="79">
        <v>6</v>
      </c>
      <c r="D90" s="83" t="s">
        <v>10</v>
      </c>
      <c r="E90" s="81"/>
      <c r="F90" s="79">
        <f t="shared" si="10"/>
        <v>0</v>
      </c>
      <c r="G90" s="82"/>
    </row>
    <row r="91" spans="1:7" ht="15.75" x14ac:dyDescent="0.25">
      <c r="A91" s="37">
        <f t="shared" si="11"/>
        <v>7.2999999999999989</v>
      </c>
      <c r="B91" s="38" t="s">
        <v>117</v>
      </c>
      <c r="C91" s="79">
        <v>10</v>
      </c>
      <c r="D91" s="83" t="s">
        <v>10</v>
      </c>
      <c r="E91" s="81"/>
      <c r="F91" s="79">
        <f t="shared" si="10"/>
        <v>0</v>
      </c>
      <c r="G91" s="82"/>
    </row>
    <row r="92" spans="1:7" ht="15.75" x14ac:dyDescent="0.25">
      <c r="A92" s="37">
        <f t="shared" si="11"/>
        <v>7.3999999999999986</v>
      </c>
      <c r="B92" s="38" t="s">
        <v>118</v>
      </c>
      <c r="C92" s="85">
        <f>210*2</f>
        <v>420</v>
      </c>
      <c r="D92" s="80" t="s">
        <v>119</v>
      </c>
      <c r="E92" s="81"/>
      <c r="F92" s="79">
        <f t="shared" si="10"/>
        <v>0</v>
      </c>
      <c r="G92" s="82"/>
    </row>
    <row r="93" spans="1:7" ht="30" x14ac:dyDescent="0.25">
      <c r="A93" s="37">
        <f t="shared" si="11"/>
        <v>7.4999999999999982</v>
      </c>
      <c r="B93" s="38" t="s">
        <v>120</v>
      </c>
      <c r="C93" s="79">
        <v>6</v>
      </c>
      <c r="D93" s="83" t="s">
        <v>10</v>
      </c>
      <c r="E93" s="81"/>
      <c r="F93" s="79">
        <f t="shared" si="10"/>
        <v>0</v>
      </c>
      <c r="G93" s="82"/>
    </row>
    <row r="94" spans="1:7" ht="30" x14ac:dyDescent="0.25">
      <c r="A94" s="37">
        <f t="shared" si="11"/>
        <v>7.5999999999999979</v>
      </c>
      <c r="B94" s="38" t="s">
        <v>121</v>
      </c>
      <c r="C94" s="79">
        <v>6</v>
      </c>
      <c r="D94" s="83" t="s">
        <v>10</v>
      </c>
      <c r="E94" s="81"/>
      <c r="F94" s="79">
        <f t="shared" si="10"/>
        <v>0</v>
      </c>
      <c r="G94" s="82"/>
    </row>
    <row r="95" spans="1:7" ht="15.75" x14ac:dyDescent="0.25">
      <c r="A95" s="37">
        <f t="shared" si="11"/>
        <v>7.6999999999999975</v>
      </c>
      <c r="B95" s="38" t="s">
        <v>122</v>
      </c>
      <c r="C95" s="79">
        <f>80*2</f>
        <v>160</v>
      </c>
      <c r="D95" s="80" t="s">
        <v>119</v>
      </c>
      <c r="E95" s="81"/>
      <c r="F95" s="79">
        <f t="shared" si="10"/>
        <v>0</v>
      </c>
      <c r="G95" s="82"/>
    </row>
    <row r="96" spans="1:7" ht="15.75" x14ac:dyDescent="0.25">
      <c r="A96" s="37">
        <f t="shared" si="11"/>
        <v>7.7999999999999972</v>
      </c>
      <c r="B96" s="38" t="s">
        <v>123</v>
      </c>
      <c r="C96" s="79">
        <f>12*2</f>
        <v>24</v>
      </c>
      <c r="D96" s="83" t="s">
        <v>10</v>
      </c>
      <c r="E96" s="81"/>
      <c r="F96" s="79">
        <f t="shared" si="10"/>
        <v>0</v>
      </c>
      <c r="G96" s="82"/>
    </row>
    <row r="97" spans="1:7" ht="30" x14ac:dyDescent="0.25">
      <c r="A97" s="37">
        <f t="shared" si="11"/>
        <v>7.8999999999999968</v>
      </c>
      <c r="B97" s="38" t="s">
        <v>124</v>
      </c>
      <c r="C97" s="79">
        <v>2</v>
      </c>
      <c r="D97" s="83" t="s">
        <v>10</v>
      </c>
      <c r="E97" s="81"/>
      <c r="F97" s="79">
        <f t="shared" si="10"/>
        <v>0</v>
      </c>
      <c r="G97" s="82"/>
    </row>
    <row r="98" spans="1:7" ht="60" x14ac:dyDescent="0.25">
      <c r="A98" s="77">
        <f>A97-0.8</f>
        <v>7.099999999999997</v>
      </c>
      <c r="B98" s="38" t="s">
        <v>125</v>
      </c>
      <c r="C98" s="79">
        <v>2</v>
      </c>
      <c r="D98" s="83" t="s">
        <v>10</v>
      </c>
      <c r="E98" s="81"/>
      <c r="F98" s="79">
        <f t="shared" si="10"/>
        <v>0</v>
      </c>
      <c r="G98" s="82"/>
    </row>
    <row r="99" spans="1:7" ht="30" x14ac:dyDescent="0.25">
      <c r="A99" s="77">
        <f>A98+0.01</f>
        <v>7.1099999999999968</v>
      </c>
      <c r="B99" s="38" t="s">
        <v>126</v>
      </c>
      <c r="C99" s="79">
        <v>2</v>
      </c>
      <c r="D99" s="83" t="s">
        <v>10</v>
      </c>
      <c r="E99" s="81"/>
      <c r="F99" s="79">
        <f t="shared" si="10"/>
        <v>0</v>
      </c>
      <c r="G99" s="82"/>
    </row>
    <row r="100" spans="1:7" ht="45" x14ac:dyDescent="0.25">
      <c r="A100" s="77">
        <f t="shared" ref="A100:A123" si="12">A99+0.01</f>
        <v>7.1199999999999966</v>
      </c>
      <c r="B100" s="38" t="s">
        <v>127</v>
      </c>
      <c r="C100" s="79">
        <v>6</v>
      </c>
      <c r="D100" s="83" t="s">
        <v>10</v>
      </c>
      <c r="E100" s="81"/>
      <c r="F100" s="79">
        <f t="shared" si="10"/>
        <v>0</v>
      </c>
      <c r="G100" s="82"/>
    </row>
    <row r="101" spans="1:7" ht="30" x14ac:dyDescent="0.25">
      <c r="A101" s="77">
        <f t="shared" si="12"/>
        <v>7.1299999999999963</v>
      </c>
      <c r="B101" s="38" t="s">
        <v>128</v>
      </c>
      <c r="C101" s="79">
        <f>200*2</f>
        <v>400</v>
      </c>
      <c r="D101" s="80" t="s">
        <v>119</v>
      </c>
      <c r="E101" s="81"/>
      <c r="F101" s="79">
        <f t="shared" si="10"/>
        <v>0</v>
      </c>
      <c r="G101" s="82"/>
    </row>
    <row r="102" spans="1:7" ht="30" x14ac:dyDescent="0.25">
      <c r="A102" s="77">
        <f t="shared" si="12"/>
        <v>7.1399999999999961</v>
      </c>
      <c r="B102" s="38" t="s">
        <v>129</v>
      </c>
      <c r="C102" s="79">
        <f>200*2</f>
        <v>400</v>
      </c>
      <c r="D102" s="80" t="s">
        <v>119</v>
      </c>
      <c r="E102" s="81"/>
      <c r="F102" s="79">
        <f t="shared" si="10"/>
        <v>0</v>
      </c>
      <c r="G102" s="82"/>
    </row>
    <row r="103" spans="1:7" ht="30" x14ac:dyDescent="0.25">
      <c r="A103" s="77">
        <f t="shared" si="12"/>
        <v>7.1499999999999959</v>
      </c>
      <c r="B103" s="38" t="s">
        <v>130</v>
      </c>
      <c r="C103" s="79">
        <v>2</v>
      </c>
      <c r="D103" s="83" t="s">
        <v>10</v>
      </c>
      <c r="E103" s="81"/>
      <c r="F103" s="79">
        <f t="shared" si="10"/>
        <v>0</v>
      </c>
      <c r="G103" s="82"/>
    </row>
    <row r="104" spans="1:7" ht="15.75" x14ac:dyDescent="0.25">
      <c r="A104" s="77">
        <f t="shared" si="12"/>
        <v>7.1599999999999957</v>
      </c>
      <c r="B104" s="38" t="s">
        <v>131</v>
      </c>
      <c r="C104" s="79">
        <v>8</v>
      </c>
      <c r="D104" s="83" t="s">
        <v>10</v>
      </c>
      <c r="E104" s="81"/>
      <c r="F104" s="79">
        <f t="shared" si="10"/>
        <v>0</v>
      </c>
      <c r="G104" s="82"/>
    </row>
    <row r="105" spans="1:7" ht="15.75" x14ac:dyDescent="0.25">
      <c r="A105" s="77">
        <f t="shared" si="12"/>
        <v>7.1699999999999955</v>
      </c>
      <c r="B105" s="38" t="s">
        <v>132</v>
      </c>
      <c r="C105" s="79">
        <v>60</v>
      </c>
      <c r="D105" s="80" t="s">
        <v>119</v>
      </c>
      <c r="E105" s="81"/>
      <c r="F105" s="79">
        <f t="shared" si="10"/>
        <v>0</v>
      </c>
      <c r="G105" s="82"/>
    </row>
    <row r="106" spans="1:7" ht="15.75" x14ac:dyDescent="0.25">
      <c r="A106" s="77">
        <f t="shared" si="12"/>
        <v>7.1799999999999953</v>
      </c>
      <c r="B106" s="38" t="s">
        <v>133</v>
      </c>
      <c r="C106" s="79">
        <v>6</v>
      </c>
      <c r="D106" s="83" t="s">
        <v>10</v>
      </c>
      <c r="E106" s="81"/>
      <c r="F106" s="79">
        <f t="shared" si="10"/>
        <v>0</v>
      </c>
      <c r="G106" s="82"/>
    </row>
    <row r="107" spans="1:7" ht="15.75" x14ac:dyDescent="0.25">
      <c r="A107" s="77">
        <f t="shared" si="12"/>
        <v>7.1899999999999951</v>
      </c>
      <c r="B107" s="38" t="s">
        <v>134</v>
      </c>
      <c r="C107" s="79">
        <v>4</v>
      </c>
      <c r="D107" s="83" t="s">
        <v>10</v>
      </c>
      <c r="E107" s="81"/>
      <c r="F107" s="79">
        <f t="shared" si="10"/>
        <v>0</v>
      </c>
      <c r="G107" s="82"/>
    </row>
    <row r="108" spans="1:7" ht="15.75" x14ac:dyDescent="0.25">
      <c r="A108" s="77">
        <f t="shared" si="12"/>
        <v>7.1999999999999948</v>
      </c>
      <c r="B108" s="38" t="s">
        <v>135</v>
      </c>
      <c r="C108" s="79">
        <v>6</v>
      </c>
      <c r="D108" s="83" t="s">
        <v>10</v>
      </c>
      <c r="E108" s="81"/>
      <c r="F108" s="79">
        <f t="shared" si="10"/>
        <v>0</v>
      </c>
      <c r="G108" s="82"/>
    </row>
    <row r="109" spans="1:7" ht="15.75" x14ac:dyDescent="0.25">
      <c r="A109" s="77">
        <f t="shared" si="12"/>
        <v>7.2099999999999946</v>
      </c>
      <c r="B109" s="38" t="s">
        <v>136</v>
      </c>
      <c r="C109" s="79">
        <v>60</v>
      </c>
      <c r="D109" s="80" t="s">
        <v>119</v>
      </c>
      <c r="E109" s="81"/>
      <c r="F109" s="79">
        <f t="shared" si="10"/>
        <v>0</v>
      </c>
      <c r="G109" s="82"/>
    </row>
    <row r="110" spans="1:7" ht="15.75" x14ac:dyDescent="0.25">
      <c r="A110" s="77">
        <f t="shared" si="12"/>
        <v>7.2199999999999944</v>
      </c>
      <c r="B110" s="38" t="s">
        <v>137</v>
      </c>
      <c r="C110" s="79">
        <v>4</v>
      </c>
      <c r="D110" s="80" t="s">
        <v>138</v>
      </c>
      <c r="E110" s="81"/>
      <c r="F110" s="79">
        <f t="shared" si="10"/>
        <v>0</v>
      </c>
      <c r="G110" s="82"/>
    </row>
    <row r="111" spans="1:7" ht="15.75" x14ac:dyDescent="0.25">
      <c r="A111" s="77">
        <f t="shared" si="12"/>
        <v>7.2299999999999942</v>
      </c>
      <c r="B111" s="38" t="s">
        <v>139</v>
      </c>
      <c r="C111" s="79">
        <v>4</v>
      </c>
      <c r="D111" s="83" t="s">
        <v>10</v>
      </c>
      <c r="E111" s="81"/>
      <c r="F111" s="79">
        <f t="shared" si="10"/>
        <v>0</v>
      </c>
      <c r="G111" s="82"/>
    </row>
    <row r="112" spans="1:7" ht="15.75" x14ac:dyDescent="0.25">
      <c r="A112" s="77">
        <f t="shared" si="12"/>
        <v>7.239999999999994</v>
      </c>
      <c r="B112" s="38" t="s">
        <v>140</v>
      </c>
      <c r="C112" s="79">
        <v>4</v>
      </c>
      <c r="D112" s="83" t="s">
        <v>10</v>
      </c>
      <c r="E112" s="81"/>
      <c r="F112" s="79">
        <f t="shared" si="10"/>
        <v>0</v>
      </c>
      <c r="G112" s="82"/>
    </row>
    <row r="113" spans="1:7" ht="30" x14ac:dyDescent="0.25">
      <c r="A113" s="77">
        <f t="shared" si="12"/>
        <v>7.2499999999999938</v>
      </c>
      <c r="B113" s="38" t="s">
        <v>141</v>
      </c>
      <c r="C113" s="79">
        <v>300</v>
      </c>
      <c r="D113" s="80" t="s">
        <v>142</v>
      </c>
      <c r="E113" s="81"/>
      <c r="F113" s="79">
        <f t="shared" si="10"/>
        <v>0</v>
      </c>
      <c r="G113" s="82"/>
    </row>
    <row r="114" spans="1:7" ht="15.75" x14ac:dyDescent="0.25">
      <c r="A114" s="77">
        <f t="shared" si="12"/>
        <v>7.2599999999999936</v>
      </c>
      <c r="B114" s="38" t="s">
        <v>143</v>
      </c>
      <c r="C114" s="79">
        <v>6</v>
      </c>
      <c r="D114" s="83" t="s">
        <v>10</v>
      </c>
      <c r="E114" s="81"/>
      <c r="F114" s="79">
        <f t="shared" si="10"/>
        <v>0</v>
      </c>
      <c r="G114" s="82"/>
    </row>
    <row r="115" spans="1:7" ht="30" x14ac:dyDescent="0.25">
      <c r="A115" s="77">
        <f t="shared" si="12"/>
        <v>7.2699999999999934</v>
      </c>
      <c r="B115" s="38" t="s">
        <v>144</v>
      </c>
      <c r="C115" s="79">
        <v>4</v>
      </c>
      <c r="D115" s="83" t="s">
        <v>10</v>
      </c>
      <c r="E115" s="81"/>
      <c r="F115" s="79">
        <f t="shared" si="10"/>
        <v>0</v>
      </c>
      <c r="G115" s="82"/>
    </row>
    <row r="116" spans="1:7" ht="15.75" x14ac:dyDescent="0.25">
      <c r="A116" s="77">
        <f t="shared" si="12"/>
        <v>7.2799999999999931</v>
      </c>
      <c r="B116" s="38" t="s">
        <v>145</v>
      </c>
      <c r="C116" s="79">
        <v>4</v>
      </c>
      <c r="D116" s="83" t="s">
        <v>10</v>
      </c>
      <c r="E116" s="81"/>
      <c r="F116" s="79">
        <f t="shared" si="10"/>
        <v>0</v>
      </c>
      <c r="G116" s="82"/>
    </row>
    <row r="117" spans="1:7" ht="15.75" x14ac:dyDescent="0.25">
      <c r="A117" s="77">
        <f t="shared" si="12"/>
        <v>7.2899999999999929</v>
      </c>
      <c r="B117" s="38" t="s">
        <v>146</v>
      </c>
      <c r="C117" s="79">
        <v>2</v>
      </c>
      <c r="D117" s="83" t="s">
        <v>10</v>
      </c>
      <c r="E117" s="81"/>
      <c r="F117" s="79">
        <f t="shared" si="10"/>
        <v>0</v>
      </c>
      <c r="G117" s="82"/>
    </row>
    <row r="118" spans="1:7" ht="15.75" x14ac:dyDescent="0.25">
      <c r="A118" s="77">
        <f t="shared" si="12"/>
        <v>7.2999999999999927</v>
      </c>
      <c r="B118" s="38" t="s">
        <v>147</v>
      </c>
      <c r="C118" s="79">
        <v>2</v>
      </c>
      <c r="D118" s="83" t="s">
        <v>10</v>
      </c>
      <c r="E118" s="81"/>
      <c r="F118" s="79">
        <f t="shared" si="10"/>
        <v>0</v>
      </c>
      <c r="G118" s="82"/>
    </row>
    <row r="119" spans="1:7" ht="30" x14ac:dyDescent="0.25">
      <c r="A119" s="77">
        <f t="shared" si="12"/>
        <v>7.3099999999999925</v>
      </c>
      <c r="B119" s="38" t="s">
        <v>148</v>
      </c>
      <c r="C119" s="79">
        <v>300</v>
      </c>
      <c r="D119" s="80" t="s">
        <v>119</v>
      </c>
      <c r="E119" s="81"/>
      <c r="F119" s="79">
        <f t="shared" si="10"/>
        <v>0</v>
      </c>
      <c r="G119" s="82"/>
    </row>
    <row r="120" spans="1:7" ht="45" x14ac:dyDescent="0.25">
      <c r="A120" s="77">
        <f t="shared" si="12"/>
        <v>7.3199999999999923</v>
      </c>
      <c r="B120" s="38" t="s">
        <v>149</v>
      </c>
      <c r="C120" s="79">
        <v>2</v>
      </c>
      <c r="D120" s="80" t="s">
        <v>150</v>
      </c>
      <c r="E120" s="81"/>
      <c r="F120" s="79">
        <f t="shared" si="10"/>
        <v>0</v>
      </c>
      <c r="G120" s="82"/>
    </row>
    <row r="121" spans="1:7" ht="15.75" x14ac:dyDescent="0.25">
      <c r="A121" s="77">
        <f t="shared" si="12"/>
        <v>7.3299999999999921</v>
      </c>
      <c r="B121" s="38" t="s">
        <v>151</v>
      </c>
      <c r="C121" s="79">
        <v>2</v>
      </c>
      <c r="D121" s="83" t="s">
        <v>10</v>
      </c>
      <c r="E121" s="81"/>
      <c r="F121" s="79">
        <f t="shared" si="10"/>
        <v>0</v>
      </c>
      <c r="G121" s="82"/>
    </row>
    <row r="122" spans="1:7" ht="15.75" x14ac:dyDescent="0.25">
      <c r="A122" s="77">
        <f t="shared" si="12"/>
        <v>7.3399999999999919</v>
      </c>
      <c r="B122" s="38" t="s">
        <v>152</v>
      </c>
      <c r="C122" s="79">
        <v>4</v>
      </c>
      <c r="D122" s="83" t="s">
        <v>10</v>
      </c>
      <c r="E122" s="81"/>
      <c r="F122" s="79">
        <f t="shared" si="10"/>
        <v>0</v>
      </c>
      <c r="G122" s="82"/>
    </row>
    <row r="123" spans="1:7" ht="15.75" x14ac:dyDescent="0.25">
      <c r="A123" s="77">
        <f t="shared" si="12"/>
        <v>7.3499999999999917</v>
      </c>
      <c r="B123" s="38" t="s">
        <v>153</v>
      </c>
      <c r="C123" s="79">
        <v>1</v>
      </c>
      <c r="D123" s="80" t="s">
        <v>52</v>
      </c>
      <c r="E123" s="81"/>
      <c r="F123" s="79">
        <f t="shared" si="10"/>
        <v>0</v>
      </c>
      <c r="G123" s="82">
        <f>SUM(F89:F123)</f>
        <v>0</v>
      </c>
    </row>
    <row r="124" spans="1:7" ht="16.5" thickBot="1" x14ac:dyDescent="0.3">
      <c r="A124" s="86"/>
      <c r="B124" s="87"/>
      <c r="C124" s="88"/>
      <c r="D124" s="98"/>
      <c r="E124" s="90"/>
      <c r="F124" s="88"/>
      <c r="G124" s="99"/>
    </row>
    <row r="125" spans="1:7" ht="16.5" thickTop="1" x14ac:dyDescent="0.25">
      <c r="A125" s="92">
        <v>8</v>
      </c>
      <c r="B125" s="93" t="s">
        <v>154</v>
      </c>
      <c r="C125" s="94"/>
      <c r="D125" s="100"/>
      <c r="E125" s="96"/>
      <c r="F125" s="94"/>
      <c r="G125" s="97"/>
    </row>
    <row r="126" spans="1:7" ht="60" x14ac:dyDescent="0.25">
      <c r="A126" s="37">
        <f>+A125+0.1</f>
        <v>8.1</v>
      </c>
      <c r="B126" s="43" t="s">
        <v>155</v>
      </c>
      <c r="C126" s="79">
        <v>2</v>
      </c>
      <c r="D126" s="83" t="s">
        <v>10</v>
      </c>
      <c r="E126" s="81"/>
      <c r="F126" s="79">
        <f t="shared" ref="F126:F144" si="13">+C126*E126</f>
        <v>0</v>
      </c>
      <c r="G126" s="82"/>
    </row>
    <row r="127" spans="1:7" ht="15.75" x14ac:dyDescent="0.25">
      <c r="A127" s="37">
        <f t="shared" ref="A127:A134" si="14">+A126+0.1</f>
        <v>8.1999999999999993</v>
      </c>
      <c r="B127" s="38" t="s">
        <v>156</v>
      </c>
      <c r="C127" s="79">
        <v>2</v>
      </c>
      <c r="D127" s="83" t="s">
        <v>10</v>
      </c>
      <c r="E127" s="81"/>
      <c r="F127" s="79">
        <f t="shared" si="13"/>
        <v>0</v>
      </c>
      <c r="G127" s="82"/>
    </row>
    <row r="128" spans="1:7" ht="30" x14ac:dyDescent="0.25">
      <c r="A128" s="37">
        <f t="shared" si="14"/>
        <v>8.2999999999999989</v>
      </c>
      <c r="B128" s="38" t="s">
        <v>157</v>
      </c>
      <c r="C128" s="79">
        <v>2</v>
      </c>
      <c r="D128" s="83" t="s">
        <v>10</v>
      </c>
      <c r="E128" s="81"/>
      <c r="F128" s="79">
        <f t="shared" si="13"/>
        <v>0</v>
      </c>
      <c r="G128" s="82"/>
    </row>
    <row r="129" spans="1:7" ht="15.75" x14ac:dyDescent="0.25">
      <c r="A129" s="37">
        <f t="shared" si="14"/>
        <v>8.3999999999999986</v>
      </c>
      <c r="B129" s="38" t="s">
        <v>158</v>
      </c>
      <c r="C129" s="79">
        <v>2</v>
      </c>
      <c r="D129" s="83" t="s">
        <v>10</v>
      </c>
      <c r="E129" s="81"/>
      <c r="F129" s="79">
        <f t="shared" si="13"/>
        <v>0</v>
      </c>
      <c r="G129" s="82"/>
    </row>
    <row r="130" spans="1:7" ht="30" x14ac:dyDescent="0.25">
      <c r="A130" s="37">
        <f t="shared" si="14"/>
        <v>8.4999999999999982</v>
      </c>
      <c r="B130" s="38" t="s">
        <v>159</v>
      </c>
      <c r="C130" s="79">
        <v>2</v>
      </c>
      <c r="D130" s="83" t="s">
        <v>10</v>
      </c>
      <c r="E130" s="81"/>
      <c r="F130" s="79">
        <f t="shared" si="13"/>
        <v>0</v>
      </c>
      <c r="G130" s="82"/>
    </row>
    <row r="131" spans="1:7" ht="15.75" x14ac:dyDescent="0.25">
      <c r="A131" s="37">
        <f t="shared" si="14"/>
        <v>8.5999999999999979</v>
      </c>
      <c r="B131" s="38" t="s">
        <v>160</v>
      </c>
      <c r="C131" s="79">
        <v>12</v>
      </c>
      <c r="D131" s="83" t="s">
        <v>10</v>
      </c>
      <c r="E131" s="81"/>
      <c r="F131" s="79">
        <f t="shared" si="13"/>
        <v>0</v>
      </c>
      <c r="G131" s="82"/>
    </row>
    <row r="132" spans="1:7" ht="15.75" x14ac:dyDescent="0.25">
      <c r="A132" s="37">
        <f t="shared" si="14"/>
        <v>8.6999999999999975</v>
      </c>
      <c r="B132" s="38" t="s">
        <v>161</v>
      </c>
      <c r="C132" s="79">
        <v>2</v>
      </c>
      <c r="D132" s="83" t="s">
        <v>10</v>
      </c>
      <c r="E132" s="81"/>
      <c r="F132" s="79">
        <f t="shared" si="13"/>
        <v>0</v>
      </c>
      <c r="G132" s="82"/>
    </row>
    <row r="133" spans="1:7" ht="15.75" x14ac:dyDescent="0.25">
      <c r="A133" s="37">
        <f t="shared" si="14"/>
        <v>8.7999999999999972</v>
      </c>
      <c r="B133" s="38" t="s">
        <v>162</v>
      </c>
      <c r="C133" s="79">
        <v>4</v>
      </c>
      <c r="D133" s="83" t="s">
        <v>10</v>
      </c>
      <c r="E133" s="81"/>
      <c r="F133" s="79">
        <f t="shared" si="13"/>
        <v>0</v>
      </c>
      <c r="G133" s="82"/>
    </row>
    <row r="134" spans="1:7" ht="15.75" x14ac:dyDescent="0.25">
      <c r="A134" s="37">
        <f t="shared" si="14"/>
        <v>8.8999999999999968</v>
      </c>
      <c r="B134" s="38" t="s">
        <v>163</v>
      </c>
      <c r="C134" s="79">
        <v>4</v>
      </c>
      <c r="D134" s="83" t="s">
        <v>10</v>
      </c>
      <c r="E134" s="81"/>
      <c r="F134" s="79">
        <f t="shared" si="13"/>
        <v>0</v>
      </c>
      <c r="G134" s="82"/>
    </row>
    <row r="135" spans="1:7" ht="15.75" x14ac:dyDescent="0.25">
      <c r="A135" s="77">
        <f>A134-0.8</f>
        <v>8.0999999999999961</v>
      </c>
      <c r="B135" s="38" t="s">
        <v>164</v>
      </c>
      <c r="C135" s="79">
        <v>8</v>
      </c>
      <c r="D135" s="83" t="s">
        <v>10</v>
      </c>
      <c r="E135" s="81"/>
      <c r="F135" s="79">
        <f t="shared" si="13"/>
        <v>0</v>
      </c>
      <c r="G135" s="82"/>
    </row>
    <row r="136" spans="1:7" ht="15.75" x14ac:dyDescent="0.25">
      <c r="A136" s="77">
        <f>A135+0.01</f>
        <v>8.1099999999999959</v>
      </c>
      <c r="B136" s="38" t="s">
        <v>165</v>
      </c>
      <c r="C136" s="79">
        <v>4</v>
      </c>
      <c r="D136" s="83" t="s">
        <v>10</v>
      </c>
      <c r="E136" s="81"/>
      <c r="F136" s="79">
        <f t="shared" si="13"/>
        <v>0</v>
      </c>
      <c r="G136" s="82"/>
    </row>
    <row r="137" spans="1:7" ht="15.75" x14ac:dyDescent="0.25">
      <c r="A137" s="77">
        <f t="shared" ref="A137:A144" si="15">A136+0.01</f>
        <v>8.1199999999999957</v>
      </c>
      <c r="B137" s="38" t="s">
        <v>166</v>
      </c>
      <c r="C137" s="79">
        <v>2</v>
      </c>
      <c r="D137" s="83" t="s">
        <v>10</v>
      </c>
      <c r="E137" s="81"/>
      <c r="F137" s="79">
        <f t="shared" si="13"/>
        <v>0</v>
      </c>
      <c r="G137" s="82"/>
    </row>
    <row r="138" spans="1:7" ht="15.75" x14ac:dyDescent="0.25">
      <c r="A138" s="77">
        <f t="shared" si="15"/>
        <v>8.1299999999999955</v>
      </c>
      <c r="B138" s="38" t="s">
        <v>167</v>
      </c>
      <c r="C138" s="79">
        <v>2</v>
      </c>
      <c r="D138" s="83" t="s">
        <v>10</v>
      </c>
      <c r="E138" s="81"/>
      <c r="F138" s="79">
        <f t="shared" si="13"/>
        <v>0</v>
      </c>
      <c r="G138" s="82"/>
    </row>
    <row r="139" spans="1:7" ht="30" x14ac:dyDescent="0.25">
      <c r="A139" s="77">
        <f t="shared" si="15"/>
        <v>8.1399999999999952</v>
      </c>
      <c r="B139" s="38" t="s">
        <v>168</v>
      </c>
      <c r="C139" s="79">
        <v>2</v>
      </c>
      <c r="D139" s="83" t="s">
        <v>10</v>
      </c>
      <c r="E139" s="81"/>
      <c r="F139" s="79">
        <f t="shared" si="13"/>
        <v>0</v>
      </c>
      <c r="G139" s="82"/>
    </row>
    <row r="140" spans="1:7" ht="90" x14ac:dyDescent="0.25">
      <c r="A140" s="77">
        <f t="shared" si="15"/>
        <v>8.149999999999995</v>
      </c>
      <c r="B140" s="38" t="s">
        <v>169</v>
      </c>
      <c r="C140" s="79">
        <v>2</v>
      </c>
      <c r="D140" s="83" t="s">
        <v>10</v>
      </c>
      <c r="E140" s="81"/>
      <c r="F140" s="79">
        <f t="shared" si="13"/>
        <v>0</v>
      </c>
      <c r="G140" s="82"/>
    </row>
    <row r="141" spans="1:7" ht="15.75" x14ac:dyDescent="0.25">
      <c r="A141" s="77">
        <f t="shared" si="15"/>
        <v>8.1599999999999948</v>
      </c>
      <c r="B141" s="38" t="s">
        <v>170</v>
      </c>
      <c r="C141" s="79">
        <v>2</v>
      </c>
      <c r="D141" s="83" t="s">
        <v>10</v>
      </c>
      <c r="E141" s="81"/>
      <c r="F141" s="79">
        <f t="shared" si="13"/>
        <v>0</v>
      </c>
      <c r="G141" s="82"/>
    </row>
    <row r="142" spans="1:7" ht="15.75" x14ac:dyDescent="0.25">
      <c r="A142" s="77">
        <f t="shared" si="15"/>
        <v>8.1699999999999946</v>
      </c>
      <c r="B142" s="38" t="s">
        <v>171</v>
      </c>
      <c r="C142" s="79">
        <v>2</v>
      </c>
      <c r="D142" s="83" t="s">
        <v>10</v>
      </c>
      <c r="E142" s="81"/>
      <c r="F142" s="79">
        <f t="shared" si="13"/>
        <v>0</v>
      </c>
      <c r="G142" s="82"/>
    </row>
    <row r="143" spans="1:7" ht="15.75" x14ac:dyDescent="0.25">
      <c r="A143" s="77">
        <f t="shared" si="15"/>
        <v>8.1799999999999944</v>
      </c>
      <c r="B143" s="38" t="s">
        <v>172</v>
      </c>
      <c r="C143" s="79">
        <v>2</v>
      </c>
      <c r="D143" s="80" t="s">
        <v>52</v>
      </c>
      <c r="E143" s="81"/>
      <c r="F143" s="79">
        <f t="shared" si="13"/>
        <v>0</v>
      </c>
      <c r="G143" s="82"/>
    </row>
    <row r="144" spans="1:7" ht="15.75" x14ac:dyDescent="0.25">
      <c r="A144" s="77">
        <f t="shared" si="15"/>
        <v>8.1899999999999942</v>
      </c>
      <c r="B144" s="38" t="s">
        <v>113</v>
      </c>
      <c r="C144" s="79">
        <v>1</v>
      </c>
      <c r="D144" s="83" t="s">
        <v>52</v>
      </c>
      <c r="E144" s="81"/>
      <c r="F144" s="79">
        <f t="shared" si="13"/>
        <v>0</v>
      </c>
      <c r="G144" s="82">
        <f>SUM(F126:F144)</f>
        <v>0</v>
      </c>
    </row>
    <row r="145" spans="1:7" ht="16.5" thickBot="1" x14ac:dyDescent="0.3">
      <c r="A145" s="25"/>
      <c r="B145" s="78"/>
      <c r="C145" s="31"/>
      <c r="D145" s="31"/>
      <c r="E145" s="28"/>
      <c r="F145" s="29"/>
      <c r="G145" s="24"/>
    </row>
    <row r="146" spans="1:7" ht="17.25" thickTop="1" thickBot="1" x14ac:dyDescent="0.3">
      <c r="A146" s="101"/>
      <c r="B146" s="102" t="s">
        <v>173</v>
      </c>
      <c r="C146" s="103"/>
      <c r="D146" s="104"/>
      <c r="E146" s="103"/>
      <c r="F146" s="105"/>
      <c r="G146" s="106">
        <f>SUM(G12:G144)</f>
        <v>0</v>
      </c>
    </row>
    <row r="147" spans="1:7" ht="17.25" thickTop="1" thickBot="1" x14ac:dyDescent="0.3">
      <c r="A147" s="107"/>
      <c r="B147" s="108" t="s">
        <v>174</v>
      </c>
      <c r="C147" s="109"/>
      <c r="D147" s="110"/>
      <c r="E147" s="109"/>
      <c r="F147" s="109"/>
      <c r="G147" s="111">
        <f>SUM(G146)</f>
        <v>0</v>
      </c>
    </row>
    <row r="148" spans="1:7" ht="16.5" thickTop="1" x14ac:dyDescent="0.25">
      <c r="A148" s="112"/>
      <c r="B148" s="113"/>
      <c r="C148" s="114"/>
      <c r="D148" s="115"/>
      <c r="E148" s="114"/>
      <c r="F148" s="114"/>
      <c r="G148" s="116"/>
    </row>
    <row r="149" spans="1:7" ht="15.75" x14ac:dyDescent="0.25">
      <c r="A149" s="117"/>
      <c r="B149" s="118" t="s">
        <v>175</v>
      </c>
      <c r="C149" s="119"/>
      <c r="D149" s="120">
        <v>0.1</v>
      </c>
      <c r="E149" s="121"/>
      <c r="F149" s="121">
        <f>D149*G147</f>
        <v>0</v>
      </c>
      <c r="G149" s="122"/>
    </row>
    <row r="150" spans="1:7" ht="15.75" x14ac:dyDescent="0.25">
      <c r="A150" s="117"/>
      <c r="B150" s="118" t="s">
        <v>176</v>
      </c>
      <c r="C150" s="119"/>
      <c r="D150" s="120">
        <v>2.5000000000000001E-2</v>
      </c>
      <c r="E150" s="121"/>
      <c r="F150" s="121">
        <f>D150*G147</f>
        <v>0</v>
      </c>
      <c r="G150" s="122"/>
    </row>
    <row r="151" spans="1:7" ht="15.75" x14ac:dyDescent="0.25">
      <c r="A151" s="117"/>
      <c r="B151" s="118" t="s">
        <v>177</v>
      </c>
      <c r="C151" s="119"/>
      <c r="D151" s="120">
        <v>5.3499999999999999E-2</v>
      </c>
      <c r="E151" s="121"/>
      <c r="F151" s="121">
        <f>D151*G147</f>
        <v>0</v>
      </c>
      <c r="G151" s="122"/>
    </row>
    <row r="152" spans="1:7" ht="15.75" x14ac:dyDescent="0.25">
      <c r="A152" s="117"/>
      <c r="B152" s="118" t="s">
        <v>178</v>
      </c>
      <c r="C152" s="119"/>
      <c r="D152" s="120">
        <v>3.5000000000000003E-2</v>
      </c>
      <c r="E152" s="121"/>
      <c r="F152" s="121">
        <f>D152*G147</f>
        <v>0</v>
      </c>
      <c r="G152" s="122"/>
    </row>
    <row r="153" spans="1:7" ht="15.75" x14ac:dyDescent="0.25">
      <c r="A153" s="117"/>
      <c r="B153" s="118" t="s">
        <v>179</v>
      </c>
      <c r="C153" s="119"/>
      <c r="D153" s="120">
        <v>0.01</v>
      </c>
      <c r="E153" s="121"/>
      <c r="F153" s="121">
        <f>D153*G147</f>
        <v>0</v>
      </c>
      <c r="G153" s="122"/>
    </row>
    <row r="154" spans="1:7" ht="15.75" x14ac:dyDescent="0.25">
      <c r="A154" s="117"/>
      <c r="B154" s="118" t="s">
        <v>180</v>
      </c>
      <c r="C154" s="119"/>
      <c r="D154" s="120">
        <v>0.05</v>
      </c>
      <c r="E154" s="121"/>
      <c r="F154" s="121">
        <f>D154*G147</f>
        <v>0</v>
      </c>
      <c r="G154" s="122"/>
    </row>
    <row r="155" spans="1:7" ht="16.5" thickBot="1" x14ac:dyDescent="0.3">
      <c r="A155" s="117"/>
      <c r="B155" s="118"/>
      <c r="C155" s="119"/>
      <c r="D155" s="123"/>
      <c r="E155" s="121"/>
      <c r="F155" s="121"/>
      <c r="G155" s="124"/>
    </row>
    <row r="156" spans="1:7" ht="17.25" thickTop="1" thickBot="1" x14ac:dyDescent="0.3">
      <c r="A156" s="125"/>
      <c r="B156" s="126" t="s">
        <v>181</v>
      </c>
      <c r="C156" s="127"/>
      <c r="D156" s="128"/>
      <c r="E156" s="129"/>
      <c r="F156" s="129"/>
      <c r="G156" s="130">
        <f>SUM(F149:F154)</f>
        <v>0</v>
      </c>
    </row>
    <row r="157" spans="1:7" ht="17.25" thickTop="1" thickBot="1" x14ac:dyDescent="0.3">
      <c r="A157" s="131"/>
      <c r="B157" s="132"/>
      <c r="C157" s="133"/>
      <c r="D157" s="134"/>
      <c r="E157" s="135"/>
      <c r="F157" s="135"/>
      <c r="G157" s="136"/>
    </row>
    <row r="158" spans="1:7" ht="17.25" thickTop="1" thickBot="1" x14ac:dyDescent="0.3">
      <c r="A158" s="125"/>
      <c r="B158" s="126" t="s">
        <v>182</v>
      </c>
      <c r="C158" s="127"/>
      <c r="D158" s="128"/>
      <c r="E158" s="129"/>
      <c r="F158" s="129"/>
      <c r="G158" s="130">
        <f>+G156+G147</f>
        <v>0</v>
      </c>
    </row>
    <row r="159" spans="1:7" ht="17.25" thickTop="1" thickBot="1" x14ac:dyDescent="0.3">
      <c r="A159" s="131"/>
      <c r="B159" s="132"/>
      <c r="C159" s="133"/>
      <c r="D159" s="134"/>
      <c r="E159" s="135"/>
      <c r="F159" s="135"/>
      <c r="G159" s="136"/>
    </row>
    <row r="160" spans="1:7" ht="17.25" thickTop="1" thickBot="1" x14ac:dyDescent="0.3">
      <c r="A160" s="125"/>
      <c r="B160" s="126" t="s">
        <v>183</v>
      </c>
      <c r="C160" s="127"/>
      <c r="D160" s="137">
        <v>0.03</v>
      </c>
      <c r="E160" s="129"/>
      <c r="F160" s="129"/>
      <c r="G160" s="130">
        <f>+G156*D160</f>
        <v>0</v>
      </c>
    </row>
    <row r="161" spans="1:7" ht="17.25" thickTop="1" thickBot="1" x14ac:dyDescent="0.3">
      <c r="A161" s="131"/>
      <c r="B161" s="132"/>
      <c r="C161" s="133"/>
      <c r="D161" s="138"/>
      <c r="E161" s="135"/>
      <c r="F161" s="135"/>
      <c r="G161" s="136"/>
    </row>
    <row r="162" spans="1:7" ht="17.25" thickTop="1" thickBot="1" x14ac:dyDescent="0.3">
      <c r="A162" s="125"/>
      <c r="B162" s="126" t="s">
        <v>184</v>
      </c>
      <c r="C162" s="127"/>
      <c r="D162" s="137">
        <v>0.06</v>
      </c>
      <c r="E162" s="129"/>
      <c r="F162" s="129"/>
      <c r="G162" s="130">
        <f>D162*G147</f>
        <v>0</v>
      </c>
    </row>
    <row r="163" spans="1:7" ht="17.25" thickTop="1" thickBot="1" x14ac:dyDescent="0.3">
      <c r="A163" s="131"/>
      <c r="B163" s="132"/>
      <c r="C163" s="133"/>
      <c r="D163" s="138"/>
      <c r="E163" s="135"/>
      <c r="F163" s="135"/>
      <c r="G163" s="136"/>
    </row>
    <row r="164" spans="1:7" ht="17.25" thickTop="1" thickBot="1" x14ac:dyDescent="0.3">
      <c r="A164" s="125"/>
      <c r="B164" s="126" t="s">
        <v>185</v>
      </c>
      <c r="C164" s="127"/>
      <c r="D164" s="137">
        <v>0.05</v>
      </c>
      <c r="E164" s="129"/>
      <c r="F164" s="129"/>
      <c r="G164" s="130">
        <f>+G158*D164</f>
        <v>0</v>
      </c>
    </row>
    <row r="165" spans="1:7" ht="17.25" thickTop="1" thickBot="1" x14ac:dyDescent="0.3">
      <c r="A165" s="131"/>
      <c r="B165" s="132"/>
      <c r="C165" s="133"/>
      <c r="D165" s="134"/>
      <c r="E165" s="135"/>
      <c r="F165" s="135"/>
      <c r="G165" s="136"/>
    </row>
    <row r="166" spans="1:7" ht="17.25" thickTop="1" thickBot="1" x14ac:dyDescent="0.3">
      <c r="A166" s="139"/>
      <c r="B166" s="140" t="s">
        <v>186</v>
      </c>
      <c r="C166" s="141"/>
      <c r="D166" s="142"/>
      <c r="E166" s="143"/>
      <c r="F166" s="143"/>
      <c r="G166" s="144">
        <f>+G164+G162+G158+G160</f>
        <v>0</v>
      </c>
    </row>
    <row r="167" spans="1:7" ht="16.5" thickTop="1" x14ac:dyDescent="0.25">
      <c r="A167" s="145"/>
      <c r="B167" s="146"/>
      <c r="C167" s="147"/>
      <c r="D167" s="148"/>
      <c r="E167" s="147"/>
      <c r="F167" s="149"/>
      <c r="G167" s="150"/>
    </row>
    <row r="168" spans="1:7" ht="15.75" x14ac:dyDescent="0.25">
      <c r="A168" s="151"/>
      <c r="B168" s="152" t="s">
        <v>187</v>
      </c>
      <c r="C168" s="153"/>
      <c r="D168" s="154"/>
      <c r="E168" s="155"/>
      <c r="F168" s="153" t="s">
        <v>188</v>
      </c>
      <c r="G168" s="156"/>
    </row>
    <row r="169" spans="1:7" ht="15.75" x14ac:dyDescent="0.25">
      <c r="A169" s="151"/>
      <c r="B169" s="152"/>
      <c r="C169" s="153"/>
      <c r="D169" s="154"/>
      <c r="E169" s="155"/>
      <c r="F169" s="153"/>
      <c r="G169" s="156"/>
    </row>
    <row r="170" spans="1:7" ht="15.75" x14ac:dyDescent="0.25">
      <c r="A170" s="145"/>
      <c r="B170" s="146"/>
      <c r="C170" s="147"/>
      <c r="D170" s="148"/>
      <c r="E170" s="155"/>
      <c r="F170" s="147"/>
      <c r="G170" s="150"/>
    </row>
    <row r="171" spans="1:7" ht="15.75" x14ac:dyDescent="0.25">
      <c r="A171" s="145"/>
      <c r="B171" s="146" t="s">
        <v>189</v>
      </c>
      <c r="C171" s="147"/>
      <c r="D171" s="148"/>
      <c r="E171" s="155"/>
      <c r="F171" s="147" t="s">
        <v>189</v>
      </c>
      <c r="G171" s="150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1"/>
  <sheetViews>
    <sheetView workbookViewId="0">
      <selection activeCell="F9" sqref="F9"/>
    </sheetView>
  </sheetViews>
  <sheetFormatPr baseColWidth="10" defaultRowHeight="15" x14ac:dyDescent="0.25"/>
  <cols>
    <col min="1" max="1" width="11.5703125" customWidth="1"/>
    <col min="2" max="2" width="55.5703125" customWidth="1"/>
    <col min="3" max="3" width="14" customWidth="1"/>
    <col min="4" max="4" width="7.7109375" customWidth="1"/>
    <col min="5" max="5" width="17.7109375" customWidth="1"/>
    <col min="6" max="6" width="18.85546875" customWidth="1"/>
    <col min="7" max="7" width="24.7109375" customWidth="1"/>
  </cols>
  <sheetData>
    <row r="1" spans="1:7" ht="18" x14ac:dyDescent="0.25">
      <c r="A1" s="157" t="s">
        <v>190</v>
      </c>
      <c r="B1" s="157"/>
      <c r="C1" s="157"/>
      <c r="D1" s="157"/>
      <c r="E1" s="157"/>
      <c r="F1" s="157"/>
      <c r="G1" s="157"/>
    </row>
    <row r="2" spans="1:7" ht="18" x14ac:dyDescent="0.25">
      <c r="A2" s="158" t="s">
        <v>191</v>
      </c>
      <c r="B2" s="158"/>
      <c r="C2" s="158"/>
      <c r="D2" s="158"/>
      <c r="E2" s="158"/>
      <c r="F2" s="158"/>
      <c r="G2" s="158"/>
    </row>
    <row r="3" spans="1:7" ht="18" x14ac:dyDescent="0.25">
      <c r="A3" s="159" t="s">
        <v>192</v>
      </c>
      <c r="B3" s="159"/>
      <c r="C3" s="159"/>
      <c r="D3" s="159"/>
      <c r="E3" s="159"/>
      <c r="F3" s="159"/>
      <c r="G3" s="159"/>
    </row>
    <row r="4" spans="1:7" ht="18" x14ac:dyDescent="0.25">
      <c r="A4" s="159" t="s">
        <v>193</v>
      </c>
      <c r="B4" s="159"/>
      <c r="C4" s="159"/>
      <c r="D4" s="159"/>
      <c r="E4" s="159"/>
      <c r="F4" s="159"/>
      <c r="G4" s="159"/>
    </row>
    <row r="5" spans="1:7" ht="18.75" thickBot="1" x14ac:dyDescent="0.3">
      <c r="A5" s="160"/>
      <c r="B5" s="161"/>
      <c r="C5" s="161"/>
      <c r="D5" s="161"/>
      <c r="E5" s="161"/>
      <c r="F5" s="162"/>
      <c r="G5" s="163"/>
    </row>
    <row r="6" spans="1:7" ht="19.5" thickTop="1" thickBot="1" x14ac:dyDescent="0.3">
      <c r="A6" s="164" t="s">
        <v>7</v>
      </c>
      <c r="B6" s="165" t="s">
        <v>194</v>
      </c>
      <c r="C6" s="166" t="s">
        <v>195</v>
      </c>
      <c r="D6" s="167" t="s">
        <v>10</v>
      </c>
      <c r="E6" s="167" t="s">
        <v>196</v>
      </c>
      <c r="F6" s="167" t="s">
        <v>197</v>
      </c>
      <c r="G6" s="168" t="s">
        <v>198</v>
      </c>
    </row>
    <row r="7" spans="1:7" ht="18.75" thickTop="1" x14ac:dyDescent="0.25">
      <c r="A7" s="169"/>
      <c r="B7" s="170"/>
      <c r="C7" s="171"/>
      <c r="D7" s="170"/>
      <c r="E7" s="171"/>
      <c r="F7" s="171"/>
      <c r="G7" s="172"/>
    </row>
    <row r="8" spans="1:7" ht="54" x14ac:dyDescent="0.25">
      <c r="A8" s="173" t="s">
        <v>199</v>
      </c>
      <c r="B8" s="174" t="s">
        <v>200</v>
      </c>
      <c r="C8" s="175"/>
      <c r="D8" s="176"/>
      <c r="E8" s="175"/>
      <c r="F8" s="175"/>
      <c r="G8" s="177"/>
    </row>
    <row r="9" spans="1:7" ht="18" x14ac:dyDescent="0.25">
      <c r="A9" s="173"/>
      <c r="B9" s="176"/>
      <c r="C9" s="175"/>
      <c r="D9" s="176"/>
      <c r="E9" s="175"/>
      <c r="F9" s="175"/>
      <c r="G9" s="177"/>
    </row>
    <row r="10" spans="1:7" ht="18" x14ac:dyDescent="0.25">
      <c r="A10" s="178">
        <v>1</v>
      </c>
      <c r="B10" s="179" t="s">
        <v>201</v>
      </c>
      <c r="C10" s="180"/>
      <c r="D10" s="180"/>
      <c r="E10" s="181"/>
      <c r="F10" s="181"/>
      <c r="G10" s="182"/>
    </row>
    <row r="11" spans="1:7" ht="18" x14ac:dyDescent="0.25">
      <c r="A11" s="183">
        <f>A10+0.1</f>
        <v>1.1000000000000001</v>
      </c>
      <c r="B11" s="184" t="s">
        <v>202</v>
      </c>
      <c r="C11" s="185">
        <v>30</v>
      </c>
      <c r="D11" s="180" t="s">
        <v>203</v>
      </c>
      <c r="E11" s="186"/>
      <c r="F11" s="186">
        <f>C11*E11</f>
        <v>0</v>
      </c>
      <c r="G11" s="187"/>
    </row>
    <row r="12" spans="1:7" ht="18" x14ac:dyDescent="0.25">
      <c r="A12" s="183">
        <f>A11+0.1</f>
        <v>1.2000000000000002</v>
      </c>
      <c r="B12" s="188" t="s">
        <v>204</v>
      </c>
      <c r="C12" s="185">
        <f>(2.5*2.5*2.5*20)*1.3</f>
        <v>406.25</v>
      </c>
      <c r="D12" s="180" t="s">
        <v>205</v>
      </c>
      <c r="E12" s="186"/>
      <c r="F12" s="186">
        <f t="shared" ref="F12:F33" si="0">C12*E12</f>
        <v>0</v>
      </c>
      <c r="G12" s="189"/>
    </row>
    <row r="13" spans="1:7" ht="18" x14ac:dyDescent="0.25">
      <c r="A13" s="183">
        <f>A12+0.1</f>
        <v>1.3000000000000003</v>
      </c>
      <c r="B13" s="188" t="s">
        <v>206</v>
      </c>
      <c r="C13" s="185">
        <f>+C12</f>
        <v>406.25</v>
      </c>
      <c r="D13" s="180" t="s">
        <v>19</v>
      </c>
      <c r="E13" s="186"/>
      <c r="F13" s="186">
        <f t="shared" si="0"/>
        <v>0</v>
      </c>
      <c r="G13" s="189"/>
    </row>
    <row r="14" spans="1:7" ht="18" x14ac:dyDescent="0.25">
      <c r="A14" s="183">
        <f>A13+0.1</f>
        <v>1.4000000000000004</v>
      </c>
      <c r="B14" s="184" t="s">
        <v>207</v>
      </c>
      <c r="C14" s="185">
        <f>+C13</f>
        <v>406.25</v>
      </c>
      <c r="D14" s="180" t="s">
        <v>205</v>
      </c>
      <c r="E14" s="186"/>
      <c r="F14" s="186">
        <f t="shared" si="0"/>
        <v>0</v>
      </c>
      <c r="G14" s="187"/>
    </row>
    <row r="15" spans="1:7" ht="18" x14ac:dyDescent="0.25">
      <c r="A15" s="183">
        <f>A14+0.1</f>
        <v>1.5000000000000004</v>
      </c>
      <c r="B15" s="184" t="s">
        <v>208</v>
      </c>
      <c r="C15" s="185">
        <v>20</v>
      </c>
      <c r="D15" s="180" t="s">
        <v>209</v>
      </c>
      <c r="E15" s="186"/>
      <c r="F15" s="186">
        <f t="shared" si="0"/>
        <v>0</v>
      </c>
      <c r="G15" s="189">
        <f>SUM(F11:F15)</f>
        <v>0</v>
      </c>
    </row>
    <row r="16" spans="1:7" ht="18" x14ac:dyDescent="0.25">
      <c r="A16" s="178"/>
      <c r="B16" s="184"/>
      <c r="C16" s="185"/>
      <c r="D16" s="180"/>
      <c r="E16" s="190"/>
      <c r="F16" s="186"/>
      <c r="G16" s="191"/>
    </row>
    <row r="17" spans="1:7" ht="18" x14ac:dyDescent="0.25">
      <c r="A17" s="178">
        <v>2</v>
      </c>
      <c r="B17" s="179" t="s">
        <v>210</v>
      </c>
      <c r="C17" s="185"/>
      <c r="D17" s="180"/>
      <c r="E17" s="190"/>
      <c r="F17" s="186"/>
      <c r="G17" s="189" t="s">
        <v>211</v>
      </c>
    </row>
    <row r="18" spans="1:7" ht="36" x14ac:dyDescent="0.25">
      <c r="A18" s="183">
        <f>A17+0.1</f>
        <v>2.1</v>
      </c>
      <c r="B18" s="184" t="s">
        <v>212</v>
      </c>
      <c r="C18" s="185">
        <v>500</v>
      </c>
      <c r="D18" s="180" t="s">
        <v>213</v>
      </c>
      <c r="E18" s="186"/>
      <c r="F18" s="186">
        <f t="shared" si="0"/>
        <v>0</v>
      </c>
      <c r="G18" s="189"/>
    </row>
    <row r="19" spans="1:7" ht="36" x14ac:dyDescent="0.25">
      <c r="A19" s="183">
        <f>A18+0.1</f>
        <v>2.2000000000000002</v>
      </c>
      <c r="B19" s="184" t="s">
        <v>214</v>
      </c>
      <c r="C19" s="185">
        <v>56</v>
      </c>
      <c r="D19" s="192" t="s">
        <v>205</v>
      </c>
      <c r="E19" s="186"/>
      <c r="F19" s="186">
        <f t="shared" si="0"/>
        <v>0</v>
      </c>
      <c r="G19" s="189"/>
    </row>
    <row r="20" spans="1:7" ht="36" x14ac:dyDescent="0.25">
      <c r="A20" s="183">
        <f>A19+0.1</f>
        <v>2.3000000000000003</v>
      </c>
      <c r="B20" s="184" t="s">
        <v>215</v>
      </c>
      <c r="C20" s="185">
        <v>100</v>
      </c>
      <c r="D20" s="192" t="s">
        <v>216</v>
      </c>
      <c r="E20" s="186"/>
      <c r="F20" s="186">
        <f t="shared" si="0"/>
        <v>0</v>
      </c>
      <c r="G20" s="189" t="s">
        <v>211</v>
      </c>
    </row>
    <row r="21" spans="1:7" ht="36" x14ac:dyDescent="0.25">
      <c r="A21" s="183">
        <f>A20+0.1</f>
        <v>2.4000000000000004</v>
      </c>
      <c r="B21" s="184" t="s">
        <v>217</v>
      </c>
      <c r="C21" s="185">
        <v>500</v>
      </c>
      <c r="D21" s="192" t="s">
        <v>213</v>
      </c>
      <c r="E21" s="186"/>
      <c r="F21" s="186">
        <f t="shared" si="0"/>
        <v>0</v>
      </c>
      <c r="G21" s="189">
        <f>SUM(F18:F21)</f>
        <v>0</v>
      </c>
    </row>
    <row r="22" spans="1:7" ht="18" x14ac:dyDescent="0.25">
      <c r="A22" s="178"/>
      <c r="B22" s="184"/>
      <c r="C22" s="185"/>
      <c r="D22" s="192"/>
      <c r="E22" s="190"/>
      <c r="F22" s="186"/>
      <c r="G22" s="191"/>
    </row>
    <row r="23" spans="1:7" ht="18" x14ac:dyDescent="0.25">
      <c r="A23" s="178">
        <v>3</v>
      </c>
      <c r="B23" s="179" t="s">
        <v>218</v>
      </c>
      <c r="C23" s="185"/>
      <c r="D23" s="192"/>
      <c r="E23" s="190"/>
      <c r="F23" s="186"/>
      <c r="G23" s="189"/>
    </row>
    <row r="24" spans="1:7" ht="36" x14ac:dyDescent="0.25">
      <c r="A24" s="183">
        <f>A23+0.1</f>
        <v>3.1</v>
      </c>
      <c r="B24" s="184" t="s">
        <v>219</v>
      </c>
      <c r="C24" s="185">
        <v>20</v>
      </c>
      <c r="D24" s="192" t="s">
        <v>213</v>
      </c>
      <c r="E24" s="186"/>
      <c r="F24" s="186">
        <f t="shared" si="0"/>
        <v>0</v>
      </c>
      <c r="G24" s="189">
        <f>SUM(F24)</f>
        <v>0</v>
      </c>
    </row>
    <row r="25" spans="1:7" ht="18" x14ac:dyDescent="0.25">
      <c r="A25" s="178"/>
      <c r="B25" s="184"/>
      <c r="C25" s="185"/>
      <c r="D25" s="192"/>
      <c r="E25" s="190"/>
      <c r="F25" s="186"/>
      <c r="G25" s="191"/>
    </row>
    <row r="26" spans="1:7" ht="18" x14ac:dyDescent="0.25">
      <c r="A26" s="178">
        <v>4</v>
      </c>
      <c r="B26" s="179" t="s">
        <v>220</v>
      </c>
      <c r="C26" s="185"/>
      <c r="D26" s="192"/>
      <c r="E26" s="190"/>
      <c r="F26" s="186"/>
      <c r="G26" s="189"/>
    </row>
    <row r="27" spans="1:7" ht="18" x14ac:dyDescent="0.25">
      <c r="A27" s="183">
        <f>A26+0.1</f>
        <v>4.0999999999999996</v>
      </c>
      <c r="B27" s="184" t="s">
        <v>221</v>
      </c>
      <c r="C27" s="185">
        <v>1</v>
      </c>
      <c r="D27" s="192" t="s">
        <v>222</v>
      </c>
      <c r="E27" s="186"/>
      <c r="F27" s="186">
        <f t="shared" si="0"/>
        <v>0</v>
      </c>
      <c r="G27" s="187"/>
    </row>
    <row r="28" spans="1:7" ht="36" x14ac:dyDescent="0.25">
      <c r="A28" s="183">
        <f>A27+0.1</f>
        <v>4.1999999999999993</v>
      </c>
      <c r="B28" s="184" t="s">
        <v>223</v>
      </c>
      <c r="C28" s="185">
        <v>60</v>
      </c>
      <c r="D28" s="192" t="s">
        <v>224</v>
      </c>
      <c r="E28" s="186"/>
      <c r="F28" s="186">
        <f t="shared" si="0"/>
        <v>0</v>
      </c>
      <c r="G28" s="189"/>
    </row>
    <row r="29" spans="1:7" ht="36" x14ac:dyDescent="0.25">
      <c r="A29" s="183">
        <f>A28+0.1</f>
        <v>4.2999999999999989</v>
      </c>
      <c r="B29" s="193" t="s">
        <v>225</v>
      </c>
      <c r="C29" s="185">
        <v>20</v>
      </c>
      <c r="D29" s="192" t="s">
        <v>224</v>
      </c>
      <c r="E29" s="186"/>
      <c r="F29" s="186">
        <f t="shared" si="0"/>
        <v>0</v>
      </c>
      <c r="G29" s="189">
        <f>SUM(F27:F29)</f>
        <v>0</v>
      </c>
    </row>
    <row r="30" spans="1:7" ht="18" x14ac:dyDescent="0.25">
      <c r="A30" s="178"/>
      <c r="B30" s="184"/>
      <c r="C30" s="185"/>
      <c r="D30" s="192"/>
      <c r="E30" s="190"/>
      <c r="F30" s="186"/>
      <c r="G30" s="191"/>
    </row>
    <row r="31" spans="1:7" ht="18" x14ac:dyDescent="0.25">
      <c r="A31" s="178">
        <v>5</v>
      </c>
      <c r="B31" s="179" t="s">
        <v>226</v>
      </c>
      <c r="C31" s="185"/>
      <c r="D31" s="180"/>
      <c r="E31" s="190"/>
      <c r="F31" s="186"/>
      <c r="G31" s="189"/>
    </row>
    <row r="32" spans="1:7" ht="18" x14ac:dyDescent="0.25">
      <c r="A32" s="183">
        <f>A31+0.1</f>
        <v>5.0999999999999996</v>
      </c>
      <c r="B32" s="184" t="s">
        <v>227</v>
      </c>
      <c r="C32" s="185">
        <v>1</v>
      </c>
      <c r="D32" s="192" t="s">
        <v>222</v>
      </c>
      <c r="E32" s="186"/>
      <c r="F32" s="186">
        <f t="shared" si="0"/>
        <v>0</v>
      </c>
      <c r="G32" s="189"/>
    </row>
    <row r="33" spans="1:7" ht="18" x14ac:dyDescent="0.25">
      <c r="A33" s="183">
        <f>A32+0.1</f>
        <v>5.1999999999999993</v>
      </c>
      <c r="B33" s="184" t="s">
        <v>228</v>
      </c>
      <c r="C33" s="185">
        <v>1</v>
      </c>
      <c r="D33" s="192" t="s">
        <v>222</v>
      </c>
      <c r="E33" s="186"/>
      <c r="F33" s="186">
        <f t="shared" si="0"/>
        <v>0</v>
      </c>
      <c r="G33" s="189">
        <f>SUM(F32:F33)</f>
        <v>0</v>
      </c>
    </row>
    <row r="34" spans="1:7" ht="18.75" thickBot="1" x14ac:dyDescent="0.3">
      <c r="A34" s="178"/>
      <c r="B34" s="184"/>
      <c r="C34" s="185"/>
      <c r="D34" s="192"/>
      <c r="E34" s="186"/>
      <c r="F34" s="186"/>
      <c r="G34" s="191"/>
    </row>
    <row r="35" spans="1:7" ht="19.5" thickTop="1" thickBot="1" x14ac:dyDescent="0.3">
      <c r="A35" s="194"/>
      <c r="B35" s="195" t="s">
        <v>229</v>
      </c>
      <c r="C35" s="196"/>
      <c r="D35" s="196"/>
      <c r="E35" s="196"/>
      <c r="F35" s="196"/>
      <c r="G35" s="197">
        <f>SUM(G15:G33)</f>
        <v>0</v>
      </c>
    </row>
    <row r="36" spans="1:7" ht="18.75" thickTop="1" x14ac:dyDescent="0.25">
      <c r="A36" s="169"/>
      <c r="B36" s="170"/>
      <c r="C36" s="171"/>
      <c r="D36" s="170"/>
      <c r="E36" s="171"/>
      <c r="F36" s="171"/>
      <c r="G36" s="172"/>
    </row>
    <row r="37" spans="1:7" ht="54" x14ac:dyDescent="0.25">
      <c r="A37" s="173" t="s">
        <v>230</v>
      </c>
      <c r="B37" s="174" t="s">
        <v>231</v>
      </c>
      <c r="C37" s="175"/>
      <c r="D37" s="176"/>
      <c r="E37" s="175"/>
      <c r="F37" s="175"/>
      <c r="G37" s="177"/>
    </row>
    <row r="38" spans="1:7" ht="18" x14ac:dyDescent="0.25">
      <c r="A38" s="173"/>
      <c r="B38" s="176"/>
      <c r="C38" s="175"/>
      <c r="D38" s="176"/>
      <c r="E38" s="175"/>
      <c r="F38" s="175"/>
      <c r="G38" s="177"/>
    </row>
    <row r="39" spans="1:7" ht="18" x14ac:dyDescent="0.25">
      <c r="A39" s="178">
        <v>1</v>
      </c>
      <c r="B39" s="179" t="s">
        <v>201</v>
      </c>
      <c r="C39" s="185"/>
      <c r="D39" s="180"/>
      <c r="E39" s="181"/>
      <c r="F39" s="181"/>
      <c r="G39" s="182"/>
    </row>
    <row r="40" spans="1:7" ht="18" x14ac:dyDescent="0.25">
      <c r="A40" s="183">
        <f>A39+0.1</f>
        <v>1.1000000000000001</v>
      </c>
      <c r="B40" s="184" t="s">
        <v>202</v>
      </c>
      <c r="C40" s="185">
        <v>15</v>
      </c>
      <c r="D40" s="180" t="s">
        <v>203</v>
      </c>
      <c r="E40" s="186"/>
      <c r="F40" s="186">
        <f>C40*E40</f>
        <v>0</v>
      </c>
      <c r="G40" s="187"/>
    </row>
    <row r="41" spans="1:7" ht="18" x14ac:dyDescent="0.25">
      <c r="A41" s="183">
        <f>A40+0.1</f>
        <v>1.2000000000000002</v>
      </c>
      <c r="B41" s="188" t="s">
        <v>204</v>
      </c>
      <c r="C41" s="185">
        <f>(2.5*2.5*2*20)*1.3</f>
        <v>325</v>
      </c>
      <c r="D41" s="180" t="s">
        <v>205</v>
      </c>
      <c r="E41" s="186"/>
      <c r="F41" s="186">
        <f>C41*E41</f>
        <v>0</v>
      </c>
      <c r="G41" s="189"/>
    </row>
    <row r="42" spans="1:7" ht="18" x14ac:dyDescent="0.25">
      <c r="A42" s="183">
        <f>A41+0.1</f>
        <v>1.3000000000000003</v>
      </c>
      <c r="B42" s="188" t="s">
        <v>206</v>
      </c>
      <c r="C42" s="185">
        <f>+C41</f>
        <v>325</v>
      </c>
      <c r="D42" s="180" t="s">
        <v>19</v>
      </c>
      <c r="E42" s="186"/>
      <c r="F42" s="186">
        <f>C42*E42</f>
        <v>0</v>
      </c>
      <c r="G42" s="189"/>
    </row>
    <row r="43" spans="1:7" ht="18" x14ac:dyDescent="0.25">
      <c r="A43" s="183">
        <f>A42+0.1</f>
        <v>1.4000000000000004</v>
      </c>
      <c r="B43" s="184" t="s">
        <v>232</v>
      </c>
      <c r="C43" s="185">
        <f>+C42</f>
        <v>325</v>
      </c>
      <c r="D43" s="180" t="s">
        <v>205</v>
      </c>
      <c r="E43" s="186"/>
      <c r="F43" s="186">
        <f>C43*E43</f>
        <v>0</v>
      </c>
      <c r="G43" s="187"/>
    </row>
    <row r="44" spans="1:7" ht="18" x14ac:dyDescent="0.25">
      <c r="A44" s="183">
        <f>A43+0.1</f>
        <v>1.5000000000000004</v>
      </c>
      <c r="B44" s="184" t="s">
        <v>208</v>
      </c>
      <c r="C44" s="185">
        <v>10</v>
      </c>
      <c r="D44" s="180" t="s">
        <v>209</v>
      </c>
      <c r="E44" s="186"/>
      <c r="F44" s="186">
        <f>C44*E44</f>
        <v>0</v>
      </c>
      <c r="G44" s="189">
        <f>SUM(F40:F44)</f>
        <v>0</v>
      </c>
    </row>
    <row r="45" spans="1:7" ht="18" x14ac:dyDescent="0.25">
      <c r="A45" s="178"/>
      <c r="B45" s="184"/>
      <c r="C45" s="185"/>
      <c r="D45" s="180"/>
      <c r="E45" s="190"/>
      <c r="F45" s="186"/>
      <c r="G45" s="191"/>
    </row>
    <row r="46" spans="1:7" ht="18" x14ac:dyDescent="0.25">
      <c r="A46" s="178"/>
      <c r="B46" s="184"/>
      <c r="C46" s="185"/>
      <c r="D46" s="180"/>
      <c r="E46" s="190"/>
      <c r="F46" s="186"/>
      <c r="G46" s="191"/>
    </row>
    <row r="47" spans="1:7" ht="18" x14ac:dyDescent="0.25">
      <c r="A47" s="178">
        <v>2</v>
      </c>
      <c r="B47" s="179" t="s">
        <v>210</v>
      </c>
      <c r="C47" s="185"/>
      <c r="D47" s="180"/>
      <c r="E47" s="190"/>
      <c r="F47" s="186"/>
      <c r="G47" s="189" t="s">
        <v>211</v>
      </c>
    </row>
    <row r="48" spans="1:7" ht="36" x14ac:dyDescent="0.25">
      <c r="A48" s="183">
        <f>A47+0.1</f>
        <v>2.1</v>
      </c>
      <c r="B48" s="184" t="s">
        <v>212</v>
      </c>
      <c r="C48" s="185">
        <v>500</v>
      </c>
      <c r="D48" s="180" t="s">
        <v>213</v>
      </c>
      <c r="E48" s="186"/>
      <c r="F48" s="186">
        <f>C48*E48</f>
        <v>0</v>
      </c>
      <c r="G48" s="189"/>
    </row>
    <row r="49" spans="1:7" ht="36" x14ac:dyDescent="0.25">
      <c r="A49" s="183">
        <f>A48+0.1</f>
        <v>2.2000000000000002</v>
      </c>
      <c r="B49" s="184" t="s">
        <v>214</v>
      </c>
      <c r="C49" s="185">
        <v>56</v>
      </c>
      <c r="D49" s="192" t="s">
        <v>205</v>
      </c>
      <c r="E49" s="186"/>
      <c r="F49" s="186">
        <f>C49*E49</f>
        <v>0</v>
      </c>
      <c r="G49" s="189"/>
    </row>
    <row r="50" spans="1:7" ht="36" x14ac:dyDescent="0.25">
      <c r="A50" s="183">
        <f>A49+0.1</f>
        <v>2.3000000000000003</v>
      </c>
      <c r="B50" s="184" t="s">
        <v>215</v>
      </c>
      <c r="C50" s="185">
        <v>100</v>
      </c>
      <c r="D50" s="192" t="s">
        <v>216</v>
      </c>
      <c r="E50" s="186"/>
      <c r="F50" s="186">
        <f>C50*E50</f>
        <v>0</v>
      </c>
      <c r="G50" s="189" t="s">
        <v>211</v>
      </c>
    </row>
    <row r="51" spans="1:7" ht="36" x14ac:dyDescent="0.25">
      <c r="A51" s="183">
        <f>A50+0.1</f>
        <v>2.4000000000000004</v>
      </c>
      <c r="B51" s="184" t="s">
        <v>217</v>
      </c>
      <c r="C51" s="185">
        <v>500</v>
      </c>
      <c r="D51" s="192" t="s">
        <v>213</v>
      </c>
      <c r="E51" s="186"/>
      <c r="F51" s="186">
        <f>C51*E51</f>
        <v>0</v>
      </c>
      <c r="G51" s="189">
        <f>SUM(F48:F51)</f>
        <v>0</v>
      </c>
    </row>
    <row r="52" spans="1:7" ht="18" x14ac:dyDescent="0.25">
      <c r="A52" s="178"/>
      <c r="B52" s="184"/>
      <c r="C52" s="185"/>
      <c r="D52" s="192"/>
      <c r="E52" s="190"/>
      <c r="F52" s="186"/>
      <c r="G52" s="191"/>
    </row>
    <row r="53" spans="1:7" ht="18" x14ac:dyDescent="0.25">
      <c r="A53" s="178">
        <v>3</v>
      </c>
      <c r="B53" s="179" t="s">
        <v>218</v>
      </c>
      <c r="C53" s="185"/>
      <c r="D53" s="192"/>
      <c r="E53" s="190"/>
      <c r="F53" s="186"/>
      <c r="G53" s="189"/>
    </row>
    <row r="54" spans="1:7" ht="36" x14ac:dyDescent="0.25">
      <c r="A54" s="183">
        <f>A53+0.1</f>
        <v>3.1</v>
      </c>
      <c r="B54" s="184" t="s">
        <v>233</v>
      </c>
      <c r="C54" s="185">
        <v>10</v>
      </c>
      <c r="D54" s="192" t="s">
        <v>213</v>
      </c>
      <c r="E54" s="186"/>
      <c r="F54" s="186">
        <f>C54*E54</f>
        <v>0</v>
      </c>
      <c r="G54" s="189">
        <f>SUM(F54)</f>
        <v>0</v>
      </c>
    </row>
    <row r="55" spans="1:7" ht="18" x14ac:dyDescent="0.25">
      <c r="A55" s="178"/>
      <c r="B55" s="184"/>
      <c r="C55" s="185"/>
      <c r="D55" s="192"/>
      <c r="E55" s="190"/>
      <c r="F55" s="186"/>
      <c r="G55" s="191"/>
    </row>
    <row r="56" spans="1:7" ht="18" x14ac:dyDescent="0.25">
      <c r="A56" s="178">
        <v>4</v>
      </c>
      <c r="B56" s="179" t="s">
        <v>220</v>
      </c>
      <c r="C56" s="185"/>
      <c r="D56" s="192"/>
      <c r="E56" s="190"/>
      <c r="F56" s="186"/>
      <c r="G56" s="189"/>
    </row>
    <row r="57" spans="1:7" ht="18" x14ac:dyDescent="0.25">
      <c r="A57" s="183">
        <f>A56+0.1</f>
        <v>4.0999999999999996</v>
      </c>
      <c r="B57" s="184" t="s">
        <v>221</v>
      </c>
      <c r="C57" s="185">
        <v>1</v>
      </c>
      <c r="D57" s="192" t="s">
        <v>222</v>
      </c>
      <c r="E57" s="186"/>
      <c r="F57" s="186">
        <f>C57*E57</f>
        <v>0</v>
      </c>
      <c r="G57" s="187"/>
    </row>
    <row r="58" spans="1:7" ht="36" x14ac:dyDescent="0.25">
      <c r="A58" s="183">
        <f>A57+0.1</f>
        <v>4.1999999999999993</v>
      </c>
      <c r="B58" s="184" t="s">
        <v>223</v>
      </c>
      <c r="C58" s="185">
        <v>30</v>
      </c>
      <c r="D58" s="192" t="s">
        <v>224</v>
      </c>
      <c r="E58" s="186"/>
      <c r="F58" s="186">
        <f>C58*E58</f>
        <v>0</v>
      </c>
      <c r="G58" s="189"/>
    </row>
    <row r="59" spans="1:7" ht="36" x14ac:dyDescent="0.25">
      <c r="A59" s="183">
        <f>A58+0.1</f>
        <v>4.2999999999999989</v>
      </c>
      <c r="B59" s="193" t="s">
        <v>225</v>
      </c>
      <c r="C59" s="185">
        <v>10</v>
      </c>
      <c r="D59" s="192" t="s">
        <v>224</v>
      </c>
      <c r="E59" s="186"/>
      <c r="F59" s="186">
        <f>C59*E59</f>
        <v>0</v>
      </c>
      <c r="G59" s="189">
        <f>SUM(F57:F59)</f>
        <v>0</v>
      </c>
    </row>
    <row r="60" spans="1:7" ht="18" x14ac:dyDescent="0.25">
      <c r="A60" s="178"/>
      <c r="B60" s="184"/>
      <c r="C60" s="185"/>
      <c r="D60" s="192"/>
      <c r="E60" s="190"/>
      <c r="F60" s="186"/>
      <c r="G60" s="191"/>
    </row>
    <row r="61" spans="1:7" ht="18" x14ac:dyDescent="0.25">
      <c r="A61" s="178">
        <v>5</v>
      </c>
      <c r="B61" s="179" t="s">
        <v>226</v>
      </c>
      <c r="C61" s="185"/>
      <c r="D61" s="180"/>
      <c r="E61" s="190"/>
      <c r="F61" s="186"/>
      <c r="G61" s="189"/>
    </row>
    <row r="62" spans="1:7" ht="18" x14ac:dyDescent="0.25">
      <c r="A62" s="183">
        <f>A61+0.1</f>
        <v>5.0999999999999996</v>
      </c>
      <c r="B62" s="184" t="s">
        <v>227</v>
      </c>
      <c r="C62" s="185">
        <v>1</v>
      </c>
      <c r="D62" s="192" t="s">
        <v>222</v>
      </c>
      <c r="E62" s="186"/>
      <c r="F62" s="186">
        <f>C62*E62</f>
        <v>0</v>
      </c>
      <c r="G62" s="189"/>
    </row>
    <row r="63" spans="1:7" ht="18" x14ac:dyDescent="0.25">
      <c r="A63" s="183">
        <f>A62+0.1</f>
        <v>5.1999999999999993</v>
      </c>
      <c r="B63" s="184" t="s">
        <v>228</v>
      </c>
      <c r="C63" s="185">
        <v>1</v>
      </c>
      <c r="D63" s="192" t="s">
        <v>222</v>
      </c>
      <c r="E63" s="186"/>
      <c r="F63" s="186">
        <f>C63*E63</f>
        <v>0</v>
      </c>
      <c r="G63" s="189">
        <f>SUM(F62:F63)</f>
        <v>0</v>
      </c>
    </row>
    <row r="64" spans="1:7" ht="18.75" thickBot="1" x14ac:dyDescent="0.3">
      <c r="A64" s="198"/>
      <c r="B64" s="199"/>
      <c r="C64" s="200"/>
      <c r="D64" s="200"/>
      <c r="E64" s="201"/>
      <c r="F64" s="201"/>
      <c r="G64" s="202"/>
    </row>
    <row r="65" spans="1:7" ht="19.5" thickTop="1" thickBot="1" x14ac:dyDescent="0.3">
      <c r="A65" s="194"/>
      <c r="B65" s="195" t="s">
        <v>234</v>
      </c>
      <c r="C65" s="203"/>
      <c r="D65" s="196"/>
      <c r="E65" s="196"/>
      <c r="F65" s="196"/>
      <c r="G65" s="197">
        <f>SUM(G44:G63)</f>
        <v>0</v>
      </c>
    </row>
    <row r="66" spans="1:7" ht="19.5" thickTop="1" thickBot="1" x14ac:dyDescent="0.3">
      <c r="A66" s="194"/>
      <c r="B66" s="195" t="s">
        <v>235</v>
      </c>
      <c r="C66" s="203"/>
      <c r="D66" s="196"/>
      <c r="E66" s="196"/>
      <c r="F66" s="196"/>
      <c r="G66" s="197">
        <f>+G65+G35</f>
        <v>0</v>
      </c>
    </row>
    <row r="67" spans="1:7" ht="18.75" thickTop="1" x14ac:dyDescent="0.25">
      <c r="A67" s="204"/>
      <c r="B67" s="205"/>
      <c r="C67" s="206"/>
      <c r="D67" s="207"/>
      <c r="E67" s="206"/>
      <c r="F67" s="208"/>
      <c r="G67" s="209"/>
    </row>
    <row r="68" spans="1:7" ht="18" x14ac:dyDescent="0.25">
      <c r="A68" s="210"/>
      <c r="B68" s="211" t="s">
        <v>236</v>
      </c>
      <c r="C68" s="212">
        <v>0.1</v>
      </c>
      <c r="D68" s="213"/>
      <c r="E68" s="214"/>
      <c r="F68" s="215">
        <f>C68*G66</f>
        <v>0</v>
      </c>
      <c r="G68" s="216"/>
    </row>
    <row r="69" spans="1:7" ht="18" x14ac:dyDescent="0.25">
      <c r="A69" s="210"/>
      <c r="B69" s="211" t="s">
        <v>237</v>
      </c>
      <c r="C69" s="212">
        <v>2.5000000000000001E-2</v>
      </c>
      <c r="D69" s="213"/>
      <c r="E69" s="214"/>
      <c r="F69" s="215">
        <f>C69*G66</f>
        <v>0</v>
      </c>
      <c r="G69" s="216"/>
    </row>
    <row r="70" spans="1:7" ht="18" x14ac:dyDescent="0.25">
      <c r="A70" s="210"/>
      <c r="B70" s="211" t="s">
        <v>238</v>
      </c>
      <c r="C70" s="212">
        <v>5.3499999999999999E-2</v>
      </c>
      <c r="D70" s="213"/>
      <c r="E70" s="214"/>
      <c r="F70" s="215">
        <f>C70*G66</f>
        <v>0</v>
      </c>
      <c r="G70" s="216"/>
    </row>
    <row r="71" spans="1:7" ht="18" x14ac:dyDescent="0.25">
      <c r="A71" s="210"/>
      <c r="B71" s="211" t="s">
        <v>239</v>
      </c>
      <c r="C71" s="212">
        <v>3.5000000000000003E-2</v>
      </c>
      <c r="D71" s="213"/>
      <c r="E71" s="214"/>
      <c r="F71" s="215">
        <f>C71*G66</f>
        <v>0</v>
      </c>
      <c r="G71" s="216"/>
    </row>
    <row r="72" spans="1:7" ht="18" x14ac:dyDescent="0.25">
      <c r="A72" s="210"/>
      <c r="B72" s="211" t="s">
        <v>240</v>
      </c>
      <c r="C72" s="212">
        <v>0.01</v>
      </c>
      <c r="D72" s="213"/>
      <c r="E72" s="214"/>
      <c r="F72" s="215">
        <f>C72*G66</f>
        <v>0</v>
      </c>
      <c r="G72" s="216"/>
    </row>
    <row r="73" spans="1:7" ht="18" x14ac:dyDescent="0.25">
      <c r="A73" s="210"/>
      <c r="B73" s="211" t="s">
        <v>241</v>
      </c>
      <c r="C73" s="212">
        <v>0.05</v>
      </c>
      <c r="D73" s="213"/>
      <c r="E73" s="214"/>
      <c r="F73" s="215">
        <f>C73*G66</f>
        <v>0</v>
      </c>
      <c r="G73" s="216"/>
    </row>
    <row r="74" spans="1:7" ht="18.75" thickBot="1" x14ac:dyDescent="0.3">
      <c r="A74" s="217"/>
      <c r="B74" s="218"/>
      <c r="C74" s="219"/>
      <c r="D74" s="213"/>
      <c r="E74" s="220"/>
      <c r="F74" s="221"/>
      <c r="G74" s="222"/>
    </row>
    <row r="75" spans="1:7" ht="19.5" thickTop="1" thickBot="1" x14ac:dyDescent="0.3">
      <c r="A75" s="194"/>
      <c r="B75" s="195" t="s">
        <v>181</v>
      </c>
      <c r="C75" s="203"/>
      <c r="D75" s="196"/>
      <c r="E75" s="196"/>
      <c r="F75" s="196"/>
      <c r="G75" s="197">
        <f>SUM(F68:F73)</f>
        <v>0</v>
      </c>
    </row>
    <row r="76" spans="1:7" ht="19.5" thickTop="1" thickBot="1" x14ac:dyDescent="0.3">
      <c r="A76" s="223"/>
      <c r="B76" s="224"/>
      <c r="C76" s="225"/>
      <c r="D76" s="226"/>
      <c r="E76" s="226"/>
      <c r="F76" s="226"/>
      <c r="G76" s="227"/>
    </row>
    <row r="77" spans="1:7" ht="19.5" thickTop="1" thickBot="1" x14ac:dyDescent="0.3">
      <c r="A77" s="194"/>
      <c r="B77" s="195" t="s">
        <v>183</v>
      </c>
      <c r="C77" s="203">
        <v>0.03</v>
      </c>
      <c r="D77" s="196"/>
      <c r="E77" s="196"/>
      <c r="F77" s="196"/>
      <c r="G77" s="197">
        <f>+G75*C77</f>
        <v>0</v>
      </c>
    </row>
    <row r="78" spans="1:7" ht="19.5" thickTop="1" thickBot="1" x14ac:dyDescent="0.3">
      <c r="A78" s="223"/>
      <c r="B78" s="224"/>
      <c r="C78" s="225"/>
      <c r="D78" s="226"/>
      <c r="E78" s="226"/>
      <c r="F78" s="226"/>
      <c r="G78" s="227"/>
    </row>
    <row r="79" spans="1:7" ht="19.5" thickTop="1" thickBot="1" x14ac:dyDescent="0.3">
      <c r="A79" s="194"/>
      <c r="B79" s="195" t="s">
        <v>182</v>
      </c>
      <c r="C79" s="203"/>
      <c r="D79" s="196"/>
      <c r="E79" s="196"/>
      <c r="F79" s="196"/>
      <c r="G79" s="197">
        <f>G66+G75</f>
        <v>0</v>
      </c>
    </row>
    <row r="80" spans="1:7" ht="19.5" thickTop="1" thickBot="1" x14ac:dyDescent="0.3">
      <c r="A80" s="223"/>
      <c r="B80" s="224"/>
      <c r="C80" s="225"/>
      <c r="D80" s="226"/>
      <c r="E80" s="226"/>
      <c r="F80" s="226"/>
      <c r="G80" s="227"/>
    </row>
    <row r="81" spans="1:7" ht="19.5" thickTop="1" thickBot="1" x14ac:dyDescent="0.3">
      <c r="A81" s="194"/>
      <c r="B81" s="195" t="s">
        <v>184</v>
      </c>
      <c r="C81" s="203">
        <v>0.06</v>
      </c>
      <c r="D81" s="196"/>
      <c r="E81" s="196"/>
      <c r="F81" s="196"/>
      <c r="G81" s="197">
        <f>C81*G66</f>
        <v>0</v>
      </c>
    </row>
    <row r="82" spans="1:7" ht="19.5" thickTop="1" thickBot="1" x14ac:dyDescent="0.3">
      <c r="A82" s="223"/>
      <c r="B82" s="224"/>
      <c r="C82" s="225"/>
      <c r="D82" s="226"/>
      <c r="E82" s="226"/>
      <c r="F82" s="226"/>
      <c r="G82" s="227"/>
    </row>
    <row r="83" spans="1:7" ht="19.5" thickTop="1" thickBot="1" x14ac:dyDescent="0.3">
      <c r="A83" s="194"/>
      <c r="B83" s="195" t="s">
        <v>185</v>
      </c>
      <c r="C83" s="203">
        <v>0.05</v>
      </c>
      <c r="D83" s="196"/>
      <c r="E83" s="196"/>
      <c r="F83" s="196"/>
      <c r="G83" s="197">
        <f>C83*G79</f>
        <v>0</v>
      </c>
    </row>
    <row r="84" spans="1:7" ht="19.5" thickTop="1" thickBot="1" x14ac:dyDescent="0.3">
      <c r="A84" s="223"/>
      <c r="B84" s="224"/>
      <c r="C84" s="226"/>
      <c r="D84" s="226"/>
      <c r="E84" s="226"/>
      <c r="F84" s="226"/>
      <c r="G84" s="227"/>
    </row>
    <row r="85" spans="1:7" ht="19.5" thickTop="1" thickBot="1" x14ac:dyDescent="0.3">
      <c r="A85" s="228"/>
      <c r="B85" s="229" t="s">
        <v>186</v>
      </c>
      <c r="C85" s="230"/>
      <c r="D85" s="230"/>
      <c r="E85" s="230"/>
      <c r="F85" s="230"/>
      <c r="G85" s="231">
        <f>G77+G79+G81+G83</f>
        <v>0</v>
      </c>
    </row>
    <row r="86" spans="1:7" ht="18.75" thickTop="1" x14ac:dyDescent="0.25">
      <c r="A86" s="232"/>
      <c r="B86" s="233"/>
      <c r="C86" s="234"/>
      <c r="D86" s="235"/>
      <c r="E86" s="234"/>
      <c r="F86" s="236"/>
      <c r="G86" s="237"/>
    </row>
    <row r="87" spans="1:7" ht="18" x14ac:dyDescent="0.25">
      <c r="A87" s="232"/>
      <c r="B87" s="233"/>
      <c r="C87" s="234"/>
      <c r="D87" s="235"/>
      <c r="E87" s="234"/>
      <c r="F87" s="236"/>
      <c r="G87" s="237"/>
    </row>
    <row r="88" spans="1:7" ht="18" x14ac:dyDescent="0.25">
      <c r="A88" s="238"/>
      <c r="B88" s="239" t="s">
        <v>187</v>
      </c>
      <c r="C88" s="240"/>
      <c r="D88" s="241"/>
      <c r="E88" s="240" t="s">
        <v>242</v>
      </c>
      <c r="F88" s="242"/>
      <c r="G88" s="243"/>
    </row>
    <row r="89" spans="1:7" ht="18" x14ac:dyDescent="0.25">
      <c r="A89" s="244"/>
      <c r="B89" s="235"/>
      <c r="C89" s="234"/>
      <c r="D89" s="235"/>
      <c r="E89" s="234"/>
      <c r="F89" s="236"/>
      <c r="G89" s="237"/>
    </row>
    <row r="90" spans="1:7" ht="18" x14ac:dyDescent="0.25">
      <c r="A90" s="244"/>
      <c r="B90" s="235" t="s">
        <v>189</v>
      </c>
      <c r="C90" s="234"/>
      <c r="D90" s="235"/>
      <c r="E90" s="234" t="s">
        <v>243</v>
      </c>
      <c r="F90" s="236"/>
      <c r="G90" s="237"/>
    </row>
    <row r="91" spans="1:7" ht="18" x14ac:dyDescent="0.25">
      <c r="A91" s="245"/>
      <c r="B91" s="246"/>
      <c r="C91" s="247"/>
      <c r="D91" s="245"/>
      <c r="E91" s="245"/>
      <c r="F91" s="245"/>
      <c r="G91" s="24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Lote 24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</dc:creator>
  <cp:lastModifiedBy>Abelardo Reyes</cp:lastModifiedBy>
  <dcterms:created xsi:type="dcterms:W3CDTF">2015-10-03T14:31:48Z</dcterms:created>
  <dcterms:modified xsi:type="dcterms:W3CDTF">2015-10-03T14:42:51Z</dcterms:modified>
</cp:coreProperties>
</file>