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20" activeTab="1"/>
  </bookViews>
  <sheets>
    <sheet name="Resumen Lote 25" sheetId="1" r:id="rId1"/>
    <sheet name="A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93" i="2" l="1"/>
  <c r="G293" i="2" s="1"/>
  <c r="G291" i="2"/>
  <c r="F291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A273" i="2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F272" i="2"/>
  <c r="F271" i="2"/>
  <c r="F270" i="2"/>
  <c r="F269" i="2"/>
  <c r="F268" i="2"/>
  <c r="F267" i="2"/>
  <c r="F266" i="2"/>
  <c r="F265" i="2"/>
  <c r="A265" i="2"/>
  <c r="A266" i="2" s="1"/>
  <c r="A267" i="2" s="1"/>
  <c r="A268" i="2" s="1"/>
  <c r="A269" i="2" s="1"/>
  <c r="A270" i="2" s="1"/>
  <c r="A271" i="2" s="1"/>
  <c r="A272" i="2" s="1"/>
  <c r="F264" i="2"/>
  <c r="G289" i="2" s="1"/>
  <c r="A264" i="2"/>
  <c r="F261" i="2"/>
  <c r="F260" i="2"/>
  <c r="F258" i="2"/>
  <c r="C258" i="2"/>
  <c r="C257" i="2"/>
  <c r="F257" i="2" s="1"/>
  <c r="F254" i="2"/>
  <c r="C254" i="2"/>
  <c r="F253" i="2"/>
  <c r="C253" i="2"/>
  <c r="F251" i="2"/>
  <c r="C251" i="2"/>
  <c r="C255" i="2" s="1"/>
  <c r="C250" i="2"/>
  <c r="F250" i="2" s="1"/>
  <c r="F249" i="2"/>
  <c r="C249" i="2"/>
  <c r="C248" i="2"/>
  <c r="F248" i="2" s="1"/>
  <c r="F245" i="2"/>
  <c r="C245" i="2"/>
  <c r="F244" i="2"/>
  <c r="C244" i="2"/>
  <c r="C246" i="2" s="1"/>
  <c r="F246" i="2" s="1"/>
  <c r="F243" i="2"/>
  <c r="A243" i="2"/>
  <c r="A244" i="2" s="1"/>
  <c r="A245" i="2" s="1"/>
  <c r="A246" i="2" s="1"/>
  <c r="A247" i="2" s="1"/>
  <c r="A252" i="2" s="1"/>
  <c r="A255" i="2" s="1"/>
  <c r="A256" i="2" s="1"/>
  <c r="A257" i="2" s="1"/>
  <c r="A258" i="2" s="1"/>
  <c r="A259" i="2" s="1"/>
  <c r="A260" i="2" s="1"/>
  <c r="A261" i="2" s="1"/>
  <c r="F240" i="2"/>
  <c r="F239" i="2"/>
  <c r="F238" i="2"/>
  <c r="C237" i="2"/>
  <c r="F237" i="2" s="1"/>
  <c r="F236" i="2"/>
  <c r="C236" i="2"/>
  <c r="C235" i="2"/>
  <c r="F235" i="2" s="1"/>
  <c r="F234" i="2"/>
  <c r="C234" i="2"/>
  <c r="C233" i="2"/>
  <c r="F233" i="2" s="1"/>
  <c r="F232" i="2"/>
  <c r="C232" i="2"/>
  <c r="C231" i="2"/>
  <c r="F231" i="2" s="1"/>
  <c r="C229" i="2"/>
  <c r="F229" i="2" s="1"/>
  <c r="F228" i="2"/>
  <c r="C228" i="2"/>
  <c r="C230" i="2" s="1"/>
  <c r="F230" i="2" s="1"/>
  <c r="F226" i="2"/>
  <c r="F225" i="2"/>
  <c r="F224" i="2"/>
  <c r="C223" i="2"/>
  <c r="F223" i="2" s="1"/>
  <c r="F222" i="2"/>
  <c r="F221" i="2"/>
  <c r="C221" i="2"/>
  <c r="F220" i="2"/>
  <c r="F219" i="2"/>
  <c r="F218" i="2"/>
  <c r="F217" i="2"/>
  <c r="F216" i="2"/>
  <c r="A215" i="2"/>
  <c r="A227" i="2" s="1"/>
  <c r="A240" i="2" s="1"/>
  <c r="F214" i="2"/>
  <c r="C214" i="2"/>
  <c r="C213" i="2"/>
  <c r="F213" i="2" s="1"/>
  <c r="F212" i="2"/>
  <c r="C210" i="2"/>
  <c r="F210" i="2" s="1"/>
  <c r="C209" i="2"/>
  <c r="F209" i="2" s="1"/>
  <c r="C207" i="2"/>
  <c r="F207" i="2" s="1"/>
  <c r="F206" i="2"/>
  <c r="C206" i="2"/>
  <c r="C205" i="2"/>
  <c r="F205" i="2" s="1"/>
  <c r="C202" i="2"/>
  <c r="F202" i="2" s="1"/>
  <c r="C201" i="2"/>
  <c r="F201" i="2" s="1"/>
  <c r="C200" i="2"/>
  <c r="F200" i="2" s="1"/>
  <c r="C199" i="2"/>
  <c r="F199" i="2" s="1"/>
  <c r="F197" i="2"/>
  <c r="C197" i="2"/>
  <c r="C196" i="2"/>
  <c r="F196" i="2" s="1"/>
  <c r="C194" i="2"/>
  <c r="F194" i="2" s="1"/>
  <c r="C193" i="2"/>
  <c r="F193" i="2" s="1"/>
  <c r="C192" i="2"/>
  <c r="F192" i="2" s="1"/>
  <c r="C191" i="2"/>
  <c r="F191" i="2" s="1"/>
  <c r="C189" i="2"/>
  <c r="F189" i="2" s="1"/>
  <c r="C188" i="2"/>
  <c r="F188" i="2" s="1"/>
  <c r="F187" i="2"/>
  <c r="C187" i="2"/>
  <c r="F186" i="2"/>
  <c r="A186" i="2"/>
  <c r="A187" i="2" s="1"/>
  <c r="A188" i="2" s="1"/>
  <c r="A189" i="2" s="1"/>
  <c r="A190" i="2" s="1"/>
  <c r="A195" i="2" s="1"/>
  <c r="A198" i="2" s="1"/>
  <c r="A204" i="2" s="1"/>
  <c r="A208" i="2" s="1"/>
  <c r="F183" i="2"/>
  <c r="F182" i="2"/>
  <c r="F181" i="2"/>
  <c r="A181" i="2"/>
  <c r="A182" i="2" s="1"/>
  <c r="A183" i="2" s="1"/>
  <c r="F180" i="2"/>
  <c r="G183" i="2" s="1"/>
  <c r="A180" i="2"/>
  <c r="F176" i="2"/>
  <c r="F172" i="2"/>
  <c r="C172" i="2"/>
  <c r="C171" i="2"/>
  <c r="F171" i="2" s="1"/>
  <c r="C166" i="2"/>
  <c r="F166" i="2" s="1"/>
  <c r="C164" i="2"/>
  <c r="C173" i="2" s="1"/>
  <c r="F173" i="2" s="1"/>
  <c r="A164" i="2"/>
  <c r="A165" i="2" s="1"/>
  <c r="A169" i="2" s="1"/>
  <c r="A174" i="2" s="1"/>
  <c r="A175" i="2" s="1"/>
  <c r="A176" i="2" s="1"/>
  <c r="A177" i="2" s="1"/>
  <c r="F161" i="2"/>
  <c r="F160" i="2"/>
  <c r="C160" i="2"/>
  <c r="F159" i="2"/>
  <c r="A159" i="2"/>
  <c r="A160" i="2" s="1"/>
  <c r="A161" i="2" s="1"/>
  <c r="F158" i="2"/>
  <c r="G161" i="2" s="1"/>
  <c r="A158" i="2"/>
  <c r="G151" i="2"/>
  <c r="F151" i="2"/>
  <c r="F149" i="2"/>
  <c r="G149" i="2" s="1"/>
  <c r="F147" i="2"/>
  <c r="F146" i="2"/>
  <c r="F144" i="2"/>
  <c r="C144" i="2"/>
  <c r="C143" i="2"/>
  <c r="F143" i="2" s="1"/>
  <c r="C142" i="2"/>
  <c r="F142" i="2" s="1"/>
  <c r="F140" i="2"/>
  <c r="C140" i="2"/>
  <c r="C139" i="2"/>
  <c r="C141" i="2" s="1"/>
  <c r="C137" i="2"/>
  <c r="F137" i="2" s="1"/>
  <c r="C136" i="2"/>
  <c r="F136" i="2" s="1"/>
  <c r="C135" i="2"/>
  <c r="F135" i="2" s="1"/>
  <c r="C134" i="2"/>
  <c r="F134" i="2" s="1"/>
  <c r="C132" i="2"/>
  <c r="F132" i="2" s="1"/>
  <c r="C131" i="2"/>
  <c r="F131" i="2" s="1"/>
  <c r="F130" i="2"/>
  <c r="C130" i="2"/>
  <c r="F129" i="2"/>
  <c r="A129" i="2"/>
  <c r="A130" i="2" s="1"/>
  <c r="A131" i="2" s="1"/>
  <c r="A132" i="2" s="1"/>
  <c r="A133" i="2" s="1"/>
  <c r="A138" i="2" s="1"/>
  <c r="A141" i="2" s="1"/>
  <c r="A142" i="2" s="1"/>
  <c r="A143" i="2" s="1"/>
  <c r="A144" i="2" s="1"/>
  <c r="A145" i="2" s="1"/>
  <c r="A146" i="2" s="1"/>
  <c r="A147" i="2" s="1"/>
  <c r="F126" i="2"/>
  <c r="A126" i="2"/>
  <c r="F125" i="2"/>
  <c r="C124" i="2"/>
  <c r="F124" i="2" s="1"/>
  <c r="F123" i="2"/>
  <c r="F122" i="2"/>
  <c r="C121" i="2"/>
  <c r="F121" i="2" s="1"/>
  <c r="F120" i="2"/>
  <c r="C119" i="2"/>
  <c r="F119" i="2" s="1"/>
  <c r="A119" i="2"/>
  <c r="A120" i="2" s="1"/>
  <c r="A121" i="2" s="1"/>
  <c r="A122" i="2" s="1"/>
  <c r="A123" i="2" s="1"/>
  <c r="A124" i="2" s="1"/>
  <c r="A125" i="2" s="1"/>
  <c r="C118" i="2"/>
  <c r="F118" i="2" s="1"/>
  <c r="A118" i="2"/>
  <c r="F117" i="2"/>
  <c r="A117" i="2"/>
  <c r="F114" i="2"/>
  <c r="F113" i="2"/>
  <c r="F112" i="2"/>
  <c r="A112" i="2"/>
  <c r="A113" i="2" s="1"/>
  <c r="A114" i="2" s="1"/>
  <c r="F111" i="2"/>
  <c r="G114" i="2" s="1"/>
  <c r="A111" i="2"/>
  <c r="F107" i="2"/>
  <c r="F103" i="2"/>
  <c r="C103" i="2"/>
  <c r="C102" i="2"/>
  <c r="F102" i="2" s="1"/>
  <c r="C95" i="2"/>
  <c r="C98" i="2" s="1"/>
  <c r="F98" i="2" s="1"/>
  <c r="A95" i="2"/>
  <c r="A96" i="2" s="1"/>
  <c r="A100" i="2" s="1"/>
  <c r="A105" i="2" s="1"/>
  <c r="A106" i="2" s="1"/>
  <c r="A107" i="2" s="1"/>
  <c r="A108" i="2" s="1"/>
  <c r="F92" i="2"/>
  <c r="F91" i="2"/>
  <c r="C91" i="2"/>
  <c r="F90" i="2"/>
  <c r="F89" i="2"/>
  <c r="G92" i="2" s="1"/>
  <c r="A89" i="2"/>
  <c r="A90" i="2" s="1"/>
  <c r="A91" i="2" s="1"/>
  <c r="A92" i="2" s="1"/>
  <c r="G82" i="2"/>
  <c r="F82" i="2"/>
  <c r="F80" i="2"/>
  <c r="G80" i="2" s="1"/>
  <c r="F78" i="2"/>
  <c r="G78" i="2" s="1"/>
  <c r="F76" i="2"/>
  <c r="C76" i="2"/>
  <c r="C74" i="2"/>
  <c r="F74" i="2" s="1"/>
  <c r="A74" i="2"/>
  <c r="A75" i="2" s="1"/>
  <c r="A76" i="2" s="1"/>
  <c r="F71" i="2"/>
  <c r="F70" i="2"/>
  <c r="C68" i="2"/>
  <c r="F68" i="2" s="1"/>
  <c r="F67" i="2"/>
  <c r="C67" i="2"/>
  <c r="C66" i="2"/>
  <c r="F66" i="2" s="1"/>
  <c r="F64" i="2"/>
  <c r="C64" i="2"/>
  <c r="C63" i="2"/>
  <c r="C65" i="2" s="1"/>
  <c r="C61" i="2"/>
  <c r="F61" i="2" s="1"/>
  <c r="F60" i="2"/>
  <c r="C60" i="2"/>
  <c r="C59" i="2"/>
  <c r="F59" i="2" s="1"/>
  <c r="F58" i="2"/>
  <c r="C58" i="2"/>
  <c r="C56" i="2"/>
  <c r="F56" i="2" s="1"/>
  <c r="C55" i="2"/>
  <c r="F55" i="2" s="1"/>
  <c r="A55" i="2"/>
  <c r="A56" i="2" s="1"/>
  <c r="A57" i="2" s="1"/>
  <c r="A62" i="2" s="1"/>
  <c r="A65" i="2" s="1"/>
  <c r="A66" i="2" s="1"/>
  <c r="A67" i="2" s="1"/>
  <c r="A68" i="2" s="1"/>
  <c r="A69" i="2" s="1"/>
  <c r="A70" i="2" s="1"/>
  <c r="A71" i="2" s="1"/>
  <c r="F54" i="2"/>
  <c r="C54" i="2"/>
  <c r="A54" i="2"/>
  <c r="F53" i="2"/>
  <c r="A53" i="2"/>
  <c r="F50" i="2"/>
  <c r="A50" i="2"/>
  <c r="F49" i="2"/>
  <c r="C48" i="2"/>
  <c r="F48" i="2" s="1"/>
  <c r="F47" i="2"/>
  <c r="F46" i="2"/>
  <c r="C45" i="2"/>
  <c r="F45" i="2" s="1"/>
  <c r="F44" i="2"/>
  <c r="C43" i="2"/>
  <c r="F43" i="2" s="1"/>
  <c r="C42" i="2"/>
  <c r="F42" i="2" s="1"/>
  <c r="A42" i="2"/>
  <c r="A43" i="2" s="1"/>
  <c r="A44" i="2" s="1"/>
  <c r="A45" i="2" s="1"/>
  <c r="A46" i="2" s="1"/>
  <c r="A47" i="2" s="1"/>
  <c r="A48" i="2" s="1"/>
  <c r="A49" i="2" s="1"/>
  <c r="F41" i="2"/>
  <c r="A41" i="2"/>
  <c r="F38" i="2"/>
  <c r="F37" i="2"/>
  <c r="A37" i="2"/>
  <c r="A38" i="2" s="1"/>
  <c r="F36" i="2"/>
  <c r="G38" i="2" s="1"/>
  <c r="F35" i="2"/>
  <c r="A35" i="2"/>
  <c r="A36" i="2" s="1"/>
  <c r="F31" i="2"/>
  <c r="C27" i="2"/>
  <c r="F27" i="2" s="1"/>
  <c r="F26" i="2"/>
  <c r="C26" i="2"/>
  <c r="A20" i="2"/>
  <c r="A24" i="2" s="1"/>
  <c r="A29" i="2" s="1"/>
  <c r="A30" i="2" s="1"/>
  <c r="A31" i="2" s="1"/>
  <c r="A32" i="2" s="1"/>
  <c r="C19" i="2"/>
  <c r="C30" i="2" s="1"/>
  <c r="F30" i="2" s="1"/>
  <c r="A19" i="2"/>
  <c r="F16" i="2"/>
  <c r="A16" i="2"/>
  <c r="C15" i="2"/>
  <c r="F15" i="2" s="1"/>
  <c r="A15" i="2"/>
  <c r="F14" i="2"/>
  <c r="F13" i="2"/>
  <c r="G16" i="2" s="1"/>
  <c r="A13" i="2"/>
  <c r="A14" i="2" s="1"/>
  <c r="F65" i="2" l="1"/>
  <c r="C69" i="2"/>
  <c r="F69" i="2" s="1"/>
  <c r="G76" i="2"/>
  <c r="C22" i="2"/>
  <c r="F22" i="2" s="1"/>
  <c r="F19" i="2"/>
  <c r="C75" i="2"/>
  <c r="F75" i="2" s="1"/>
  <c r="G126" i="2"/>
  <c r="F255" i="2"/>
  <c r="G261" i="2" s="1"/>
  <c r="C259" i="2"/>
  <c r="F259" i="2" s="1"/>
  <c r="C25" i="2"/>
  <c r="F25" i="2" s="1"/>
  <c r="G50" i="2"/>
  <c r="F63" i="2"/>
  <c r="C28" i="2"/>
  <c r="F28" i="2" s="1"/>
  <c r="C32" i="2"/>
  <c r="F32" i="2" s="1"/>
  <c r="C29" i="2"/>
  <c r="F29" i="2" s="1"/>
  <c r="C21" i="2"/>
  <c r="G71" i="2"/>
  <c r="F141" i="2"/>
  <c r="C145" i="2"/>
  <c r="F145" i="2" s="1"/>
  <c r="C101" i="2"/>
  <c r="F101" i="2" s="1"/>
  <c r="C106" i="2"/>
  <c r="F106" i="2" s="1"/>
  <c r="F139" i="2"/>
  <c r="G147" i="2" s="1"/>
  <c r="F164" i="2"/>
  <c r="C167" i="2"/>
  <c r="F167" i="2" s="1"/>
  <c r="C203" i="2"/>
  <c r="F203" i="2" s="1"/>
  <c r="G240" i="2" s="1"/>
  <c r="C256" i="2"/>
  <c r="F256" i="2" s="1"/>
  <c r="C97" i="2"/>
  <c r="C105" i="2"/>
  <c r="F105" i="2" s="1"/>
  <c r="C108" i="2"/>
  <c r="F108" i="2" s="1"/>
  <c r="C170" i="2"/>
  <c r="F170" i="2" s="1"/>
  <c r="C175" i="2"/>
  <c r="F175" i="2" s="1"/>
  <c r="C104" i="2"/>
  <c r="F104" i="2" s="1"/>
  <c r="C168" i="2"/>
  <c r="F168" i="2" s="1"/>
  <c r="C174" i="2"/>
  <c r="F174" i="2" s="1"/>
  <c r="C177" i="2"/>
  <c r="F177" i="2" s="1"/>
  <c r="F95" i="2"/>
  <c r="C23" i="2" l="1"/>
  <c r="F23" i="2" s="1"/>
  <c r="F21" i="2"/>
  <c r="G32" i="2" s="1"/>
  <c r="G84" i="2" s="1"/>
  <c r="F97" i="2"/>
  <c r="G108" i="2" s="1"/>
  <c r="G153" i="2" s="1"/>
  <c r="C99" i="2"/>
  <c r="F99" i="2" s="1"/>
  <c r="G177" i="2"/>
  <c r="G295" i="2" s="1"/>
  <c r="G296" i="2" l="1"/>
  <c r="G297" i="2" s="1"/>
  <c r="F302" i="2" l="1"/>
  <c r="F301" i="2"/>
  <c r="G312" i="2"/>
  <c r="F304" i="2"/>
  <c r="F300" i="2"/>
  <c r="F303" i="2"/>
  <c r="F299" i="2"/>
  <c r="G306" i="2" s="1"/>
  <c r="G308" i="2" l="1"/>
  <c r="G314" i="2" s="1"/>
  <c r="G316" i="2" s="1"/>
  <c r="G310" i="2"/>
</calcChain>
</file>

<file path=xl/sharedStrings.xml><?xml version="1.0" encoding="utf-8"?>
<sst xmlns="http://schemas.openxmlformats.org/spreadsheetml/2006/main" count="585" uniqueCount="243">
  <si>
    <t>A</t>
  </si>
  <si>
    <t>Acondicionamiento depósitos reguladores de los Guaricanos, Santo Domingo Norte</t>
  </si>
  <si>
    <t xml:space="preserve">CORPORACIÓN DEL ACUEDUCTO Y ALCANTARILLADO DE SANTO DOMINGO </t>
  </si>
  <si>
    <t>* * *  C. A. A. S. D.  * * *</t>
  </si>
  <si>
    <t>ACONDICIONAMIENTO DEPOSITOS REGULADORES DE LOS GUARICANOS, SANTO DOMINGO NORTE</t>
  </si>
  <si>
    <t>No.</t>
  </si>
  <si>
    <t>DESCRIPCION</t>
  </si>
  <si>
    <t>CANTIDAD</t>
  </si>
  <si>
    <t>UD</t>
  </si>
  <si>
    <t>PRECIO</t>
  </si>
  <si>
    <t>COSTO RD$</t>
  </si>
  <si>
    <t>SUB TOTAL RD$</t>
  </si>
  <si>
    <t>FASE A</t>
  </si>
  <si>
    <t>DEPOSITO REGULADOR NUEVA ISABELA</t>
  </si>
  <si>
    <t>Trabajos Preliminares:</t>
  </si>
  <si>
    <t>Limpieza preliminar</t>
  </si>
  <si>
    <t>pa</t>
  </si>
  <si>
    <t>Desmantelar verja de malla ciclónica existente</t>
  </si>
  <si>
    <t>Relleno de gravilla para embellecimiento</t>
  </si>
  <si>
    <t>m3</t>
  </si>
  <si>
    <t>Bote de escombros</t>
  </si>
  <si>
    <t>Verja perimetral:</t>
  </si>
  <si>
    <t>Replanteo</t>
  </si>
  <si>
    <t>ml</t>
  </si>
  <si>
    <t>Movimiento de tierra:</t>
  </si>
  <si>
    <t>2.2.1</t>
  </si>
  <si>
    <t>Excavación con retroexcavadora para zapata de muros y columnas</t>
  </si>
  <si>
    <t>2.2.2</t>
  </si>
  <si>
    <t>Relleno de reposición</t>
  </si>
  <si>
    <t>2.2.3</t>
  </si>
  <si>
    <t>Bote de material sobrante (a 10 Km)</t>
  </si>
  <si>
    <t>Hormigón armado en:</t>
  </si>
  <si>
    <t>2.3.1</t>
  </si>
  <si>
    <t>Zapata de muros</t>
  </si>
  <si>
    <t>2.3.2</t>
  </si>
  <si>
    <t>Zapata de columnas</t>
  </si>
  <si>
    <t>2.3.3</t>
  </si>
  <si>
    <t>Columnas</t>
  </si>
  <si>
    <t>2.3.4</t>
  </si>
  <si>
    <t>Viga de coronación</t>
  </si>
  <si>
    <t>Muro de bloques de 0.15 mts violinados</t>
  </si>
  <si>
    <t>m2</t>
  </si>
  <si>
    <t xml:space="preserve">Pintura acrílica </t>
  </si>
  <si>
    <t>Puerta de tola corrediza con puerta peatonal integrada</t>
  </si>
  <si>
    <t>uds</t>
  </si>
  <si>
    <t>Alambre tipo trinchera</t>
  </si>
  <si>
    <t>Acondicionamiento De Depósito:</t>
  </si>
  <si>
    <t>Limpieza del Tanque con Agua a Presión por dentro antes de iniciar el trabajo de  pintura</t>
  </si>
  <si>
    <t>Resane De Superficies</t>
  </si>
  <si>
    <t xml:space="preserve"> m2</t>
  </si>
  <si>
    <t xml:space="preserve">Pintura </t>
  </si>
  <si>
    <t>Alquiler de Andamios ( Incluye Instalacion)</t>
  </si>
  <si>
    <t xml:space="preserve"> pa</t>
  </si>
  <si>
    <t>Reparación caseta de operador:</t>
  </si>
  <si>
    <t>Desmantelar cerámica de piso y muro en baño</t>
  </si>
  <si>
    <t>Revestimiento de cerámica en muro baño</t>
  </si>
  <si>
    <t>Piso de cerámica en baño</t>
  </si>
  <si>
    <t>Suministro y colocación de puertas everdoor</t>
  </si>
  <si>
    <t xml:space="preserve"> ud</t>
  </si>
  <si>
    <t>Ventanas salomónicas de aluminio</t>
  </si>
  <si>
    <t>p2</t>
  </si>
  <si>
    <t>suministro y colocación de Inodoro</t>
  </si>
  <si>
    <t>suministro y colocación de Lavamanos</t>
  </si>
  <si>
    <t>Costrucción de acera perimetral</t>
  </si>
  <si>
    <t>Fino de techo</t>
  </si>
  <si>
    <t>Impermeabilizante</t>
  </si>
  <si>
    <t xml:space="preserve">Caseta combinada para Cloración y paneles eléctricos </t>
  </si>
  <si>
    <t>Excavación</t>
  </si>
  <si>
    <t>Bote de material sobrante</t>
  </si>
  <si>
    <t>5.5.1</t>
  </si>
  <si>
    <t>Zapata de muros de bloques</t>
  </si>
  <si>
    <t>5.5.2</t>
  </si>
  <si>
    <t>Losa de piso (frotada)</t>
  </si>
  <si>
    <t>5.5.3</t>
  </si>
  <si>
    <t>Viga de amarre de piso y de techo</t>
  </si>
  <si>
    <t>5.5.4</t>
  </si>
  <si>
    <t>Losa de techo</t>
  </si>
  <si>
    <t>Muros de bloques de:</t>
  </si>
  <si>
    <t>5.6.1</t>
  </si>
  <si>
    <t>0.15 mt.</t>
  </si>
  <si>
    <t>5.6.2</t>
  </si>
  <si>
    <t>Calados tipo ventana</t>
  </si>
  <si>
    <t>Pañete</t>
  </si>
  <si>
    <t>Fraguache</t>
  </si>
  <si>
    <t>Cantos</t>
  </si>
  <si>
    <t>Pintura acrílica</t>
  </si>
  <si>
    <t>Puertas tipo everdoor</t>
  </si>
  <si>
    <t>Electrificacion</t>
  </si>
  <si>
    <t>Reparación de parqueo</t>
  </si>
  <si>
    <t>Sacado de material existente contaminado</t>
  </si>
  <si>
    <t>Bote de material</t>
  </si>
  <si>
    <t>Suministro y colocación de gravilla</t>
  </si>
  <si>
    <t>Reparación de cisterna (cubicar desglosado)</t>
  </si>
  <si>
    <t>Paisajismo (cubicar desglosado)</t>
  </si>
  <si>
    <t>Limpieza final</t>
  </si>
  <si>
    <t>SUB-TOTAL FASE A</t>
  </si>
  <si>
    <t>FASE B</t>
  </si>
  <si>
    <t>DEPOSITO REGULADOR BATEY ISABELA</t>
  </si>
  <si>
    <t>SUB-TOTAL FASE B</t>
  </si>
  <si>
    <t>FASE C</t>
  </si>
  <si>
    <t>DEPOSITO REGULADOR BNV</t>
  </si>
  <si>
    <t>Construcción De Caseta De Operador De Un Dormitorio</t>
  </si>
  <si>
    <t>PA</t>
  </si>
  <si>
    <t xml:space="preserve">Excavación con Retroexcavadora                                              </t>
  </si>
  <si>
    <t>M3</t>
  </si>
  <si>
    <t>Relleno Compactado de Reposición</t>
  </si>
  <si>
    <t>Bote de Material Sobrante ( para 15.00 Km )</t>
  </si>
  <si>
    <t>Hormigón Armado (f'c=210 Kg/cm2) en:</t>
  </si>
  <si>
    <t>4.5.1</t>
  </si>
  <si>
    <t>Zapatas de muros de 0.15 mt.</t>
  </si>
  <si>
    <t>4.5.2</t>
  </si>
  <si>
    <t>Dinteles</t>
  </si>
  <si>
    <t>4.5.3</t>
  </si>
  <si>
    <t>Viga de amarre</t>
  </si>
  <si>
    <t>4.5.4</t>
  </si>
  <si>
    <t>4.6.1</t>
  </si>
  <si>
    <t>0.15 mt. BNP</t>
  </si>
  <si>
    <t>M2</t>
  </si>
  <si>
    <t>4.6.2</t>
  </si>
  <si>
    <t>0.15 mt. SNP</t>
  </si>
  <si>
    <t>Terminación de Superficie:</t>
  </si>
  <si>
    <t>4.7.1</t>
  </si>
  <si>
    <t>Fraguache de viga, dinteles y losa de techo</t>
  </si>
  <si>
    <t>4.7.2</t>
  </si>
  <si>
    <t>Pañete Interior y exterior</t>
  </si>
  <si>
    <t>4.7.3</t>
  </si>
  <si>
    <t>Fino Losa de Techo</t>
  </si>
  <si>
    <t>4.7.4</t>
  </si>
  <si>
    <t>ML</t>
  </si>
  <si>
    <t>4.7.5</t>
  </si>
  <si>
    <t xml:space="preserve">Impermealizante </t>
  </si>
  <si>
    <t>Terminación de pisos:</t>
  </si>
  <si>
    <t>4.8.1</t>
  </si>
  <si>
    <t>Piso de cerámica</t>
  </si>
  <si>
    <t>4.8.2</t>
  </si>
  <si>
    <t>Zócalos de cerámica</t>
  </si>
  <si>
    <t>4.8.3</t>
  </si>
  <si>
    <t>Acera perimetral</t>
  </si>
  <si>
    <t>Revestimiento:</t>
  </si>
  <si>
    <t>4.9.1</t>
  </si>
  <si>
    <t>De cerámica en cocina</t>
  </si>
  <si>
    <t>4.9.2</t>
  </si>
  <si>
    <t>De cerámica en baño</t>
  </si>
  <si>
    <t>Portage:</t>
  </si>
  <si>
    <t>4.10.1</t>
  </si>
  <si>
    <t>Puertas everdoor</t>
  </si>
  <si>
    <t>4.10.2</t>
  </si>
  <si>
    <t>P2</t>
  </si>
  <si>
    <t>4.10.3</t>
  </si>
  <si>
    <t>Tope de marmolite</t>
  </si>
  <si>
    <t>Instalación Sanitaria:</t>
  </si>
  <si>
    <t>4.11.1</t>
  </si>
  <si>
    <t>Inodoro</t>
  </si>
  <si>
    <t>4.11.2</t>
  </si>
  <si>
    <t>Lavamanos</t>
  </si>
  <si>
    <t>4.11.3</t>
  </si>
  <si>
    <t>Pileta con ducha</t>
  </si>
  <si>
    <t>4.11.4</t>
  </si>
  <si>
    <t>Cámaras de inspección (0.70 x 0.70)</t>
  </si>
  <si>
    <t>4.11.5</t>
  </si>
  <si>
    <t>Trampa de grasa (1.20 x 1.20)</t>
  </si>
  <si>
    <t>4.11.6</t>
  </si>
  <si>
    <t>Tubería de 3/4" PVC SCH-40</t>
  </si>
  <si>
    <t>4.11.7</t>
  </si>
  <si>
    <t>Tubería de1/2" PVC SCH-40</t>
  </si>
  <si>
    <t>4.11.8</t>
  </si>
  <si>
    <t>Tubería de 2" PVC SDR-32.5</t>
  </si>
  <si>
    <t>4.11.9</t>
  </si>
  <si>
    <t>Piezas</t>
  </si>
  <si>
    <t>4.11.10</t>
  </si>
  <si>
    <t>Movimiento de tierra para tubería</t>
  </si>
  <si>
    <t>4.11.11</t>
  </si>
  <si>
    <t>Mano de Obra Plomería</t>
  </si>
  <si>
    <t>Séptico</t>
  </si>
  <si>
    <t>4.12.1</t>
  </si>
  <si>
    <t>Excavación  Material no Clasificado</t>
  </si>
  <si>
    <t>4.12.2</t>
  </si>
  <si>
    <t>Relleno Compactado</t>
  </si>
  <si>
    <t>4.12.3</t>
  </si>
  <si>
    <t>4.12.4</t>
  </si>
  <si>
    <t>Losa de Fondo (e= 0.20 Mts)</t>
  </si>
  <si>
    <t>4.12.5</t>
  </si>
  <si>
    <t>Muros de bloques de 0.15 mt.</t>
  </si>
  <si>
    <t>4.12.6</t>
  </si>
  <si>
    <t>Losa de techo (e=0.10 mts)</t>
  </si>
  <si>
    <t>4.12.7</t>
  </si>
  <si>
    <t>Fino de losa de fondo</t>
  </si>
  <si>
    <t>4.12.8</t>
  </si>
  <si>
    <t>Fino de losa de techo</t>
  </si>
  <si>
    <t>4.12.9</t>
  </si>
  <si>
    <t>Zabaleta de fondo</t>
  </si>
  <si>
    <t>4.12.10</t>
  </si>
  <si>
    <t>4.12.11</t>
  </si>
  <si>
    <t>Tapa de H.F. (0.30 x 0.30)</t>
  </si>
  <si>
    <t>4.12.12</t>
  </si>
  <si>
    <t>Tapa de H.F. (0.60 x 0.60)</t>
  </si>
  <si>
    <t>Instalación eléctrica</t>
  </si>
  <si>
    <t xml:space="preserve">Descarga Equipo De Bombeo </t>
  </si>
  <si>
    <t>Bomba tipo turbina de 1100 GPM, contra 150' de TDH, descarga de 6"</t>
  </si>
  <si>
    <t>Eje de cabezal en acero inoxidable 1 1/4 x 62"</t>
  </si>
  <si>
    <t>Eje Cool roil 1 1/4 x 10, con camisa en acero niquel</t>
  </si>
  <si>
    <t>Suministro de Eje Cool roil 1 1/4 x 5, con camisa en acero niquel</t>
  </si>
  <si>
    <t>Suministro de caja de empaque con tornillo espárrago en acero inoxidable</t>
  </si>
  <si>
    <t>Sedazo de 12" (cocullera)</t>
  </si>
  <si>
    <t>Suministro de guía 6" bronce</t>
  </si>
  <si>
    <t>Suministro busing de goma americana helicoidal para eje de 1 5/8"</t>
  </si>
  <si>
    <t>Suministro empaquetadura 3/8"</t>
  </si>
  <si>
    <t>Pies</t>
  </si>
  <si>
    <t>Junta dresser de 6 plg</t>
  </si>
  <si>
    <t>Manometro sumergido en glicerina de 0-100 PSI</t>
  </si>
  <si>
    <t>Medidor de caudal 8"</t>
  </si>
  <si>
    <t>Válvula vástago estacionario de 8", hf, platillo, 150 psi, volanta</t>
  </si>
  <si>
    <t>Válvula vastago estacionario de 4" Plg</t>
  </si>
  <si>
    <t>Válvula de retención horizontal (check y sostenedora de presión) 8", platillo, 150 psi</t>
  </si>
  <si>
    <t>Tubería hn 8"x10', incluye coupling</t>
  </si>
  <si>
    <t>Tubería hn 8"x5', incluye coupling</t>
  </si>
  <si>
    <t>Tee de 8 x 4 en hf</t>
  </si>
  <si>
    <t>Platillo 8"</t>
  </si>
  <si>
    <t>Platillo 4"</t>
  </si>
  <si>
    <t>Junta de goma p/8"</t>
  </si>
  <si>
    <t>Junta de goma p/4"</t>
  </si>
  <si>
    <t>Cabezal de descarga para columna de 8 Plg</t>
  </si>
  <si>
    <t>Instalación completa ventosa 1" (Incluye: 4 nipler roscado 1x3"; 1llave de bola de 1"; tee de 1"; válvula de aire 1"; nipler 1x2"; codo de 1"; reducción bushing 1" a 1/2"; 2 nipler de 1/2" x 2"; tee de 1/2"; reducción bushing de 1/2" a 3/8"; llave de chorro de 1/2").</t>
  </si>
  <si>
    <t>Uso grúa</t>
  </si>
  <si>
    <t>Mano de obra para instalacion mecánica</t>
  </si>
  <si>
    <t>SUB-TOTAL FASE C</t>
  </si>
  <si>
    <t xml:space="preserve">SUB-TOTAL </t>
  </si>
  <si>
    <t xml:space="preserve">SUB-TOTAL GENERAL 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</si>
  <si>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</si>
  <si>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</si>
  <si>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</si>
  <si>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</si>
  <si>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</si>
  <si>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</si>
  <si>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</si>
  <si>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</si>
  <si>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</si>
  <si>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</si>
  <si>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IMPREVISTOS</t>
  </si>
  <si>
    <t>TOTAL GENERAL A CONTRATAR</t>
  </si>
  <si>
    <t>Sometido por :</t>
  </si>
  <si>
    <t>Revisado por: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</si>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</sst>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8" formatCode="_(* #,##0.00_);_(* \(#,##0.00\);_(* &quot;-&quot;??_);_(@_)"/>
    <numFmt numFmtId="169" formatCode="0.0"/>
    <numFmt numFmtId="170" formatCode="0.00_)"/>
    <numFmt numFmtId="171" formatCode="0_)"/>
    <numFmt numFmtId="172" formatCode="0.0_)"/>
    <numFmt numFmtId="173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4" tint="-0.249977111117893"/>
      <name val="Arial"/>
      <family val="2"/>
    </font>
    <font>
      <sz val="12"/>
      <color rgb="FF92D050"/>
      <name val="Arial"/>
      <family val="2"/>
    </font>
    <font>
      <sz val="12"/>
      <color theme="1"/>
      <name val="Arial"/>
      <family val="2"/>
    </font>
    <font>
      <b/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quotePrefix="1" applyFont="1" applyAlignment="1" applyProtection="1">
      <alignment horizontal="center" vertical="center" wrapText="1"/>
    </xf>
    <xf numFmtId="43" fontId="4" fillId="0" borderId="0" xfId="1" quotePrefix="1" applyFont="1" applyAlignment="1" applyProtection="1">
      <alignment horizontal="center" vertical="center" wrapText="1"/>
    </xf>
    <xf numFmtId="169" fontId="4" fillId="3" borderId="2" xfId="0" applyNumberFormat="1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center" vertical="center"/>
    </xf>
    <xf numFmtId="168" fontId="4" fillId="3" borderId="3" xfId="2" applyFont="1" applyFill="1" applyBorder="1" applyAlignment="1" applyProtection="1">
      <alignment horizontal="center" vertical="center"/>
    </xf>
    <xf numFmtId="43" fontId="4" fillId="3" borderId="3" xfId="1" applyFont="1" applyFill="1" applyBorder="1" applyAlignment="1" applyProtection="1">
      <alignment horizontal="center" vertical="center"/>
    </xf>
    <xf numFmtId="43" fontId="4" fillId="3" borderId="4" xfId="1" applyFont="1" applyFill="1" applyBorder="1" applyAlignment="1" applyProtection="1">
      <alignment horizontal="center" vertical="center"/>
    </xf>
    <xf numFmtId="169" fontId="4" fillId="4" borderId="5" xfId="3" applyNumberFormat="1" applyFont="1" applyFill="1" applyBorder="1" applyAlignment="1" applyProtection="1">
      <alignment vertical="center" wrapText="1"/>
    </xf>
    <xf numFmtId="170" fontId="4" fillId="4" borderId="6" xfId="3" applyFont="1" applyFill="1" applyBorder="1" applyAlignment="1" applyProtection="1">
      <alignment horizontal="left" vertical="center" wrapText="1"/>
    </xf>
    <xf numFmtId="168" fontId="4" fillId="4" borderId="6" xfId="2" applyFont="1" applyFill="1" applyBorder="1" applyAlignment="1" applyProtection="1">
      <alignment horizontal="center" vertical="center" wrapText="1"/>
    </xf>
    <xf numFmtId="168" fontId="4" fillId="4" borderId="7" xfId="2" applyFont="1" applyFill="1" applyBorder="1" applyAlignment="1" applyProtection="1">
      <alignment horizontal="center" vertical="center" wrapText="1"/>
    </xf>
    <xf numFmtId="169" fontId="4" fillId="4" borderId="8" xfId="3" applyNumberFormat="1" applyFont="1" applyFill="1" applyBorder="1" applyAlignment="1" applyProtection="1">
      <alignment vertical="center" wrapText="1"/>
    </xf>
    <xf numFmtId="170" fontId="4" fillId="4" borderId="9" xfId="3" applyFont="1" applyFill="1" applyBorder="1" applyAlignment="1" applyProtection="1">
      <alignment horizontal="left" vertical="center" wrapText="1"/>
    </xf>
    <xf numFmtId="168" fontId="4" fillId="4" borderId="9" xfId="2" applyFont="1" applyFill="1" applyBorder="1" applyAlignment="1" applyProtection="1">
      <alignment horizontal="center" vertical="center" wrapText="1"/>
    </xf>
    <xf numFmtId="168" fontId="4" fillId="4" borderId="10" xfId="2" applyFont="1" applyFill="1" applyBorder="1" applyAlignment="1" applyProtection="1">
      <alignment horizontal="center" vertical="center" wrapText="1"/>
    </xf>
    <xf numFmtId="1" fontId="4" fillId="4" borderId="11" xfId="3" applyNumberFormat="1" applyFont="1" applyFill="1" applyBorder="1" applyAlignment="1" applyProtection="1">
      <alignment vertical="center" wrapText="1"/>
    </xf>
    <xf numFmtId="170" fontId="4" fillId="4" borderId="12" xfId="3" applyFont="1" applyFill="1" applyBorder="1" applyAlignment="1" applyProtection="1">
      <alignment horizontal="left" vertical="center" wrapText="1"/>
    </xf>
    <xf numFmtId="168" fontId="4" fillId="4" borderId="12" xfId="2" applyFont="1" applyFill="1" applyBorder="1" applyAlignment="1" applyProtection="1">
      <alignment horizontal="center" vertical="center" wrapText="1"/>
    </xf>
    <xf numFmtId="168" fontId="4" fillId="4" borderId="13" xfId="2" applyFont="1" applyFill="1" applyBorder="1" applyAlignment="1" applyProtection="1">
      <alignment horizontal="center" vertical="center" wrapText="1"/>
    </xf>
    <xf numFmtId="169" fontId="6" fillId="4" borderId="11" xfId="3" applyNumberFormat="1" applyFont="1" applyFill="1" applyBorder="1" applyAlignment="1" applyProtection="1">
      <alignment vertical="center" wrapText="1"/>
    </xf>
    <xf numFmtId="170" fontId="6" fillId="0" borderId="0" xfId="3" applyFont="1" applyAlignment="1">
      <alignment vertical="center"/>
    </xf>
    <xf numFmtId="168" fontId="6" fillId="0" borderId="12" xfId="2" applyFont="1" applyFill="1" applyBorder="1" applyAlignment="1" applyProtection="1">
      <alignment vertical="center" wrapText="1"/>
    </xf>
    <xf numFmtId="168" fontId="6" fillId="0" borderId="12" xfId="2" applyFont="1" applyFill="1" applyBorder="1" applyAlignment="1" applyProtection="1">
      <alignment horizontal="center" vertical="center" wrapText="1"/>
    </xf>
    <xf numFmtId="168" fontId="6" fillId="0" borderId="12" xfId="2" applyFont="1" applyBorder="1" applyAlignment="1" applyProtection="1">
      <alignment horizontal="right" vertical="center" wrapText="1"/>
    </xf>
    <xf numFmtId="169" fontId="6" fillId="0" borderId="12" xfId="3" applyNumberFormat="1" applyFont="1" applyFill="1" applyBorder="1" applyAlignment="1" applyProtection="1">
      <alignment horizontal="left" vertical="center" wrapText="1"/>
    </xf>
    <xf numFmtId="168" fontId="6" fillId="4" borderId="12" xfId="2" applyFont="1" applyFill="1" applyBorder="1" applyAlignment="1" applyProtection="1">
      <alignment horizontal="center" vertical="center" wrapText="1"/>
    </xf>
    <xf numFmtId="171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 applyProtection="1">
      <alignment vertical="center" wrapText="1"/>
    </xf>
    <xf numFmtId="168" fontId="4" fillId="0" borderId="9" xfId="2" applyFont="1" applyFill="1" applyBorder="1" applyAlignment="1" applyProtection="1">
      <alignment horizontal="center"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 applyProtection="1">
      <alignment vertical="center" wrapText="1"/>
    </xf>
    <xf numFmtId="168" fontId="6" fillId="4" borderId="9" xfId="2" applyFont="1" applyFill="1" applyBorder="1" applyAlignment="1" applyProtection="1">
      <alignment horizontal="center" vertical="center" wrapText="1"/>
    </xf>
    <xf numFmtId="168" fontId="6" fillId="0" borderId="9" xfId="2" applyFont="1" applyFill="1" applyBorder="1" applyAlignment="1" applyProtection="1">
      <alignment horizontal="center" vertical="center" wrapText="1"/>
    </xf>
    <xf numFmtId="168" fontId="6" fillId="0" borderId="12" xfId="2" applyFont="1" applyBorder="1" applyAlignment="1" applyProtection="1">
      <alignment horizontal="center" vertical="center" wrapText="1"/>
    </xf>
    <xf numFmtId="168" fontId="4" fillId="0" borderId="13" xfId="2" applyFont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168" fontId="6" fillId="0" borderId="12" xfId="2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vertical="center" wrapText="1"/>
    </xf>
    <xf numFmtId="168" fontId="6" fillId="0" borderId="9" xfId="2" applyFont="1" applyBorder="1" applyAlignment="1" applyProtection="1">
      <alignment horizontal="center" vertical="center" wrapText="1"/>
    </xf>
    <xf numFmtId="168" fontId="6" fillId="0" borderId="9" xfId="2" applyFont="1" applyFill="1" applyBorder="1" applyAlignment="1" applyProtection="1">
      <alignment vertical="center" wrapText="1"/>
    </xf>
    <xf numFmtId="168" fontId="6" fillId="0" borderId="9" xfId="2" applyFont="1" applyFill="1" applyBorder="1" applyAlignment="1" applyProtection="1">
      <alignment horizontal="right" vertical="center" wrapText="1"/>
    </xf>
    <xf numFmtId="168" fontId="4" fillId="0" borderId="10" xfId="2" applyFont="1" applyBorder="1" applyAlignment="1" applyProtection="1">
      <alignment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 applyProtection="1">
      <alignment vertical="center" wrapText="1"/>
    </xf>
    <xf numFmtId="168" fontId="6" fillId="0" borderId="9" xfId="2" applyFont="1" applyBorder="1" applyAlignment="1" applyProtection="1">
      <alignment horizontal="right" vertical="center" wrapText="1"/>
    </xf>
    <xf numFmtId="172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Fill="1" applyBorder="1" applyAlignment="1" applyProtection="1">
      <alignment vertical="center" wrapText="1"/>
    </xf>
    <xf numFmtId="168" fontId="6" fillId="0" borderId="15" xfId="2" applyFont="1" applyBorder="1" applyAlignment="1" applyProtection="1">
      <alignment horizontal="right" vertical="center" wrapText="1"/>
    </xf>
    <xf numFmtId="168" fontId="6" fillId="0" borderId="15" xfId="2" applyFont="1" applyBorder="1" applyAlignment="1" applyProtection="1">
      <alignment horizontal="center" vertical="center" wrapText="1"/>
    </xf>
    <xf numFmtId="168" fontId="6" fillId="0" borderId="15" xfId="2" applyFont="1" applyFill="1" applyBorder="1" applyAlignment="1" applyProtection="1">
      <alignment vertical="center" wrapText="1"/>
    </xf>
    <xf numFmtId="168" fontId="6" fillId="0" borderId="15" xfId="2" applyFont="1" applyFill="1" applyBorder="1" applyAlignment="1" applyProtection="1">
      <alignment horizontal="right" vertical="center" wrapText="1"/>
    </xf>
    <xf numFmtId="168" fontId="4" fillId="0" borderId="16" xfId="2" applyFont="1" applyBorder="1" applyAlignment="1" applyProtection="1">
      <alignment vertical="center" wrapText="1"/>
    </xf>
    <xf numFmtId="171" fontId="4" fillId="0" borderId="8" xfId="0" applyNumberFormat="1" applyFont="1" applyBorder="1" applyAlignment="1">
      <alignment horizontal="right" vertical="center"/>
    </xf>
    <xf numFmtId="168" fontId="6" fillId="0" borderId="9" xfId="2" applyFont="1" applyBorder="1" applyAlignment="1" applyProtection="1">
      <alignment horizontal="right" vertical="center"/>
    </xf>
    <xf numFmtId="168" fontId="6" fillId="0" borderId="9" xfId="2" applyFont="1" applyBorder="1" applyAlignment="1" applyProtection="1">
      <alignment vertical="center"/>
    </xf>
    <xf numFmtId="168" fontId="4" fillId="0" borderId="10" xfId="2" applyFont="1" applyBorder="1" applyAlignment="1" applyProtection="1">
      <alignment vertical="center"/>
    </xf>
    <xf numFmtId="172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 applyProtection="1">
      <alignment vertical="center"/>
    </xf>
    <xf numFmtId="168" fontId="4" fillId="0" borderId="13" xfId="2" applyFont="1" applyBorder="1" applyAlignment="1" applyProtection="1">
      <alignment vertical="center"/>
    </xf>
    <xf numFmtId="168" fontId="6" fillId="0" borderId="12" xfId="2" applyFont="1" applyFill="1" applyBorder="1" applyAlignment="1">
      <alignment horizontal="center" vertical="center" wrapText="1"/>
    </xf>
    <xf numFmtId="168" fontId="6" fillId="0" borderId="12" xfId="2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168" fontId="6" fillId="0" borderId="9" xfId="2" applyFont="1" applyBorder="1" applyAlignment="1" applyProtection="1">
      <alignment horizontal="center" vertical="center"/>
    </xf>
    <xf numFmtId="170" fontId="6" fillId="0" borderId="11" xfId="0" applyNumberFormat="1" applyFont="1" applyBorder="1" applyAlignment="1">
      <alignment horizontal="right" vertical="center"/>
    </xf>
    <xf numFmtId="0" fontId="4" fillId="4" borderId="9" xfId="0" applyFont="1" applyFill="1" applyBorder="1" applyAlignment="1" applyProtection="1">
      <alignment horizontal="left" vertical="center" wrapText="1"/>
    </xf>
    <xf numFmtId="168" fontId="6" fillId="0" borderId="12" xfId="2" applyFont="1" applyBorder="1" applyAlignment="1" applyProtection="1">
      <alignment vertical="center" wrapText="1"/>
    </xf>
    <xf numFmtId="168" fontId="6" fillId="0" borderId="13" xfId="2" applyFont="1" applyBorder="1" applyAlignment="1" applyProtection="1">
      <alignment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168" fontId="6" fillId="0" borderId="13" xfId="2" applyFont="1" applyFill="1" applyBorder="1" applyAlignment="1" applyProtection="1">
      <alignment vertical="center" wrapText="1"/>
    </xf>
    <xf numFmtId="168" fontId="6" fillId="0" borderId="0" xfId="2" applyFont="1" applyAlignment="1">
      <alignment vertical="center" wrapText="1"/>
    </xf>
    <xf numFmtId="170" fontId="6" fillId="0" borderId="11" xfId="0" applyNumberFormat="1" applyFont="1" applyBorder="1" applyAlignment="1">
      <alignment horizontal="right" vertical="center" wrapText="1"/>
    </xf>
    <xf numFmtId="170" fontId="6" fillId="4" borderId="12" xfId="3" applyFont="1" applyFill="1" applyBorder="1" applyAlignment="1" applyProtection="1">
      <alignment horizontal="left" vertical="center" wrapText="1"/>
    </xf>
    <xf numFmtId="43" fontId="6" fillId="0" borderId="12" xfId="1" applyFont="1" applyBorder="1" applyAlignment="1" applyProtection="1">
      <alignment horizontal="right" vertical="center" wrapText="1"/>
    </xf>
    <xf numFmtId="43" fontId="6" fillId="0" borderId="12" xfId="1" applyFont="1" applyBorder="1" applyAlignment="1" applyProtection="1">
      <alignment horizontal="center" vertical="center" wrapText="1"/>
    </xf>
    <xf numFmtId="43" fontId="6" fillId="0" borderId="12" xfId="1" applyFont="1" applyFill="1" applyBorder="1" applyAlignment="1" applyProtection="1">
      <alignment vertical="center" wrapText="1"/>
    </xf>
    <xf numFmtId="43" fontId="4" fillId="0" borderId="13" xfId="1" applyFont="1" applyBorder="1" applyAlignment="1" applyProtection="1">
      <alignment vertical="center" wrapText="1"/>
    </xf>
    <xf numFmtId="43" fontId="6" fillId="0" borderId="17" xfId="1" applyFont="1" applyFill="1" applyBorder="1" applyAlignment="1">
      <alignment horizontal="center" vertical="center" wrapText="1"/>
    </xf>
    <xf numFmtId="43" fontId="4" fillId="0" borderId="18" xfId="1" applyFont="1" applyFill="1" applyBorder="1" applyAlignment="1">
      <alignment horizontal="right" vertical="center" wrapText="1"/>
    </xf>
    <xf numFmtId="43" fontId="6" fillId="0" borderId="12" xfId="1" applyFont="1" applyFill="1" applyBorder="1" applyAlignment="1" applyProtection="1">
      <alignment horizontal="right" vertical="center" wrapText="1"/>
    </xf>
    <xf numFmtId="169" fontId="6" fillId="5" borderId="2" xfId="3" applyNumberFormat="1" applyFont="1" applyFill="1" applyBorder="1" applyAlignment="1" applyProtection="1">
      <alignment vertical="center" wrapText="1"/>
    </xf>
    <xf numFmtId="170" fontId="4" fillId="5" borderId="3" xfId="3" applyFont="1" applyFill="1" applyBorder="1" applyAlignment="1" applyProtection="1">
      <alignment horizontal="left" vertical="center" wrapText="1"/>
    </xf>
    <xf numFmtId="168" fontId="6" fillId="5" borderId="3" xfId="2" applyFont="1" applyFill="1" applyBorder="1" applyAlignment="1" applyProtection="1">
      <alignment vertical="center" wrapText="1"/>
    </xf>
    <xf numFmtId="168" fontId="6" fillId="5" borderId="3" xfId="2" applyFont="1" applyFill="1" applyBorder="1" applyAlignment="1" applyProtection="1">
      <alignment horizontal="center" vertical="center" wrapText="1"/>
    </xf>
    <xf numFmtId="168" fontId="6" fillId="5" borderId="3" xfId="2" applyFont="1" applyFill="1" applyBorder="1" applyAlignment="1" applyProtection="1">
      <alignment horizontal="right" vertical="center" wrapText="1"/>
    </xf>
    <xf numFmtId="168" fontId="4" fillId="5" borderId="4" xfId="2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168" fontId="6" fillId="0" borderId="19" xfId="2" applyFont="1" applyBorder="1" applyAlignment="1" applyProtection="1">
      <alignment horizontal="center" vertical="center" wrapText="1"/>
    </xf>
    <xf numFmtId="168" fontId="4" fillId="0" borderId="20" xfId="2" applyFont="1" applyBorder="1" applyAlignment="1" applyProtection="1">
      <alignment vertical="center" wrapText="1"/>
    </xf>
    <xf numFmtId="173" fontId="6" fillId="0" borderId="11" xfId="0" applyNumberFormat="1" applyFont="1" applyFill="1" applyBorder="1" applyAlignment="1">
      <alignment horizontal="right" vertical="center" wrapText="1"/>
    </xf>
    <xf numFmtId="0" fontId="6" fillId="0" borderId="12" xfId="4" applyFont="1" applyBorder="1" applyAlignment="1">
      <alignment vertical="center" wrapText="1"/>
    </xf>
    <xf numFmtId="4" fontId="6" fillId="0" borderId="12" xfId="2" applyNumberFormat="1" applyFont="1" applyBorder="1" applyAlignment="1">
      <alignment horizontal="center" vertical="center" wrapText="1"/>
    </xf>
    <xf numFmtId="4" fontId="6" fillId="0" borderId="12" xfId="5" applyNumberFormat="1" applyFont="1" applyBorder="1" applyAlignment="1">
      <alignment vertical="center" wrapText="1"/>
    </xf>
    <xf numFmtId="173" fontId="4" fillId="0" borderId="11" xfId="0" applyNumberFormat="1" applyFont="1" applyFill="1" applyBorder="1" applyAlignment="1">
      <alignment horizontal="right" vertical="center" wrapText="1"/>
    </xf>
    <xf numFmtId="4" fontId="4" fillId="0" borderId="12" xfId="5" applyNumberFormat="1" applyFont="1" applyBorder="1" applyAlignment="1">
      <alignment vertical="center" wrapText="1"/>
    </xf>
    <xf numFmtId="173" fontId="4" fillId="0" borderId="11" xfId="6" applyNumberFormat="1" applyFont="1" applyBorder="1" applyAlignment="1">
      <alignment horizontal="right" vertical="center" wrapText="1"/>
    </xf>
    <xf numFmtId="4" fontId="4" fillId="0" borderId="8" xfId="6" applyNumberFormat="1" applyFont="1" applyBorder="1" applyAlignment="1">
      <alignment horizontal="right" vertical="center" wrapText="1"/>
    </xf>
    <xf numFmtId="4" fontId="4" fillId="0" borderId="9" xfId="5" applyNumberFormat="1" applyFont="1" applyBorder="1" applyAlignment="1">
      <alignment vertical="center" wrapText="1"/>
    </xf>
    <xf numFmtId="168" fontId="6" fillId="0" borderId="9" xfId="2" applyFont="1" applyFill="1" applyBorder="1" applyAlignment="1">
      <alignment horizontal="center" vertical="center" wrapText="1"/>
    </xf>
    <xf numFmtId="4" fontId="6" fillId="0" borderId="9" xfId="2" applyNumberFormat="1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2" xfId="4" applyNumberFormat="1" applyFont="1" applyBorder="1" applyAlignment="1">
      <alignment horizontal="left" vertical="center" wrapText="1"/>
    </xf>
    <xf numFmtId="4" fontId="4" fillId="0" borderId="11" xfId="6" applyNumberFormat="1" applyFont="1" applyBorder="1" applyAlignment="1">
      <alignment horizontal="right" vertical="center" wrapText="1"/>
    </xf>
    <xf numFmtId="0" fontId="4" fillId="0" borderId="12" xfId="4" applyFont="1" applyBorder="1" applyAlignment="1">
      <alignment vertical="center" wrapText="1"/>
    </xf>
    <xf numFmtId="168" fontId="4" fillId="0" borderId="12" xfId="2" applyFont="1" applyFill="1" applyBorder="1" applyAlignment="1">
      <alignment horizontal="center" vertical="center" wrapText="1"/>
    </xf>
    <xf numFmtId="4" fontId="4" fillId="0" borderId="12" xfId="2" applyNumberFormat="1" applyFont="1" applyBorder="1" applyAlignment="1">
      <alignment horizontal="center" vertical="center" wrapText="1"/>
    </xf>
    <xf numFmtId="168" fontId="6" fillId="0" borderId="12" xfId="2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171" fontId="4" fillId="0" borderId="11" xfId="3" applyNumberFormat="1" applyFont="1" applyBorder="1" applyAlignment="1">
      <alignment horizontal="right" vertical="center" wrapText="1"/>
    </xf>
    <xf numFmtId="170" fontId="4" fillId="0" borderId="12" xfId="3" applyFont="1" applyBorder="1" applyAlignment="1" applyProtection="1">
      <alignment vertical="center" wrapText="1"/>
    </xf>
    <xf numFmtId="172" fontId="6" fillId="0" borderId="11" xfId="3" applyNumberFormat="1" applyFont="1" applyBorder="1" applyAlignment="1">
      <alignment horizontal="right" vertical="center" wrapText="1"/>
    </xf>
    <xf numFmtId="170" fontId="6" fillId="0" borderId="12" xfId="3" applyFont="1" applyFill="1" applyBorder="1" applyAlignment="1" applyProtection="1">
      <alignment vertical="center" wrapText="1"/>
    </xf>
    <xf numFmtId="168" fontId="6" fillId="0" borderId="17" xfId="2" applyFont="1" applyFill="1" applyBorder="1" applyAlignment="1">
      <alignment horizontal="center" vertical="center" wrapText="1"/>
    </xf>
    <xf numFmtId="170" fontId="6" fillId="0" borderId="11" xfId="3" applyNumberFormat="1" applyFont="1" applyBorder="1" applyAlignment="1">
      <alignment horizontal="right" vertical="center" wrapText="1"/>
    </xf>
    <xf numFmtId="170" fontId="6" fillId="0" borderId="12" xfId="3" applyFont="1" applyBorder="1" applyAlignment="1" applyProtection="1">
      <alignment vertical="center" wrapText="1"/>
    </xf>
    <xf numFmtId="170" fontId="7" fillId="6" borderId="21" xfId="0" applyNumberFormat="1" applyFont="1" applyFill="1" applyBorder="1" applyAlignment="1" applyProtection="1">
      <alignment horizontal="right" vertical="center"/>
    </xf>
    <xf numFmtId="170" fontId="7" fillId="6" borderId="22" xfId="0" applyNumberFormat="1" applyFont="1" applyFill="1" applyBorder="1" applyAlignment="1" applyProtection="1">
      <alignment horizontal="left" vertical="center" wrapText="1"/>
    </xf>
    <xf numFmtId="43" fontId="7" fillId="6" borderId="22" xfId="1" applyFont="1" applyFill="1" applyBorder="1" applyAlignment="1" applyProtection="1">
      <alignment horizontal="center" vertical="center"/>
    </xf>
    <xf numFmtId="170" fontId="7" fillId="6" borderId="22" xfId="0" applyNumberFormat="1" applyFont="1" applyFill="1" applyBorder="1" applyAlignment="1" applyProtection="1">
      <alignment horizontal="center" vertical="center"/>
    </xf>
    <xf numFmtId="43" fontId="7" fillId="6" borderId="23" xfId="1" applyFont="1" applyFill="1" applyBorder="1" applyAlignment="1" applyProtection="1">
      <alignment horizontal="center" vertical="center"/>
    </xf>
    <xf numFmtId="170" fontId="8" fillId="0" borderId="24" xfId="0" applyNumberFormat="1" applyFont="1" applyBorder="1" applyAlignment="1" applyProtection="1">
      <alignment horizontal="right" vertical="center"/>
    </xf>
    <xf numFmtId="170" fontId="8" fillId="0" borderId="25" xfId="0" applyNumberFormat="1" applyFont="1" applyBorder="1" applyAlignment="1" applyProtection="1">
      <alignment vertical="center" wrapText="1"/>
    </xf>
    <xf numFmtId="43" fontId="8" fillId="0" borderId="25" xfId="1" applyFont="1" applyBorder="1" applyAlignment="1" applyProtection="1">
      <alignment vertical="center"/>
    </xf>
    <xf numFmtId="39" fontId="8" fillId="0" borderId="25" xfId="0" applyNumberFormat="1" applyFont="1" applyBorder="1" applyAlignment="1" applyProtection="1">
      <alignment vertical="center"/>
    </xf>
    <xf numFmtId="43" fontId="7" fillId="0" borderId="26" xfId="1" applyFont="1" applyBorder="1" applyAlignment="1" applyProtection="1">
      <alignment vertical="center"/>
    </xf>
    <xf numFmtId="169" fontId="6" fillId="0" borderId="27" xfId="0" applyNumberFormat="1" applyFont="1" applyFill="1" applyBorder="1" applyAlignment="1" applyProtection="1">
      <alignment horizontal="right" vertical="center"/>
    </xf>
    <xf numFmtId="170" fontId="6" fillId="0" borderId="19" xfId="0" applyNumberFormat="1" applyFont="1" applyFill="1" applyBorder="1" applyAlignment="1" applyProtection="1">
      <alignment horizontal="left" vertical="center" wrapText="1"/>
    </xf>
    <xf numFmtId="43" fontId="6" fillId="0" borderId="19" xfId="1" applyFont="1" applyFill="1" applyBorder="1" applyAlignment="1" applyProtection="1">
      <alignment horizontal="left" vertical="center"/>
    </xf>
    <xf numFmtId="10" fontId="6" fillId="0" borderId="19" xfId="7" applyNumberFormat="1" applyFont="1" applyFill="1" applyBorder="1" applyAlignment="1" applyProtection="1">
      <alignment horizontal="center" vertical="center"/>
    </xf>
    <xf numFmtId="43" fontId="6" fillId="0" borderId="19" xfId="1" applyFont="1" applyFill="1" applyBorder="1" applyAlignment="1" applyProtection="1">
      <alignment vertical="center"/>
    </xf>
    <xf numFmtId="43" fontId="4" fillId="0" borderId="20" xfId="1" applyFont="1" applyFill="1" applyBorder="1" applyAlignment="1" applyProtection="1">
      <alignment vertical="center"/>
    </xf>
    <xf numFmtId="168" fontId="6" fillId="0" borderId="19" xfId="2" applyFont="1" applyFill="1" applyBorder="1" applyAlignment="1" applyProtection="1">
      <alignment vertical="center"/>
    </xf>
    <xf numFmtId="43" fontId="4" fillId="0" borderId="28" xfId="1" applyFont="1" applyFill="1" applyBorder="1" applyAlignment="1" applyProtection="1">
      <alignment vertical="center"/>
    </xf>
    <xf numFmtId="170" fontId="8" fillId="6" borderId="21" xfId="0" applyNumberFormat="1" applyFont="1" applyFill="1" applyBorder="1" applyAlignment="1" applyProtection="1">
      <alignment horizontal="right" vertical="center"/>
    </xf>
    <xf numFmtId="170" fontId="7" fillId="6" borderId="22" xfId="0" applyNumberFormat="1" applyFont="1" applyFill="1" applyBorder="1" applyAlignment="1" applyProtection="1">
      <alignment vertical="center" wrapText="1"/>
    </xf>
    <xf numFmtId="43" fontId="7" fillId="6" borderId="22" xfId="1" applyFont="1" applyFill="1" applyBorder="1" applyAlignment="1" applyProtection="1">
      <alignment vertical="center"/>
    </xf>
    <xf numFmtId="170" fontId="8" fillId="6" borderId="22" xfId="0" applyNumberFormat="1" applyFont="1" applyFill="1" applyBorder="1" applyAlignment="1" applyProtection="1">
      <alignment vertical="center"/>
    </xf>
    <xf numFmtId="43" fontId="8" fillId="6" borderId="22" xfId="1" applyFont="1" applyFill="1" applyBorder="1" applyAlignment="1" applyProtection="1">
      <alignment vertical="center"/>
    </xf>
    <xf numFmtId="43" fontId="7" fillId="6" borderId="23" xfId="1" applyFont="1" applyFill="1" applyBorder="1" applyAlignment="1" applyProtection="1">
      <alignment vertical="center"/>
    </xf>
    <xf numFmtId="170" fontId="8" fillId="0" borderId="21" xfId="0" applyNumberFormat="1" applyFont="1" applyFill="1" applyBorder="1" applyAlignment="1" applyProtection="1">
      <alignment horizontal="right" vertical="center"/>
    </xf>
    <xf numFmtId="170" fontId="7" fillId="0" borderId="22" xfId="0" applyNumberFormat="1" applyFont="1" applyFill="1" applyBorder="1" applyAlignment="1" applyProtection="1">
      <alignment vertical="center" wrapText="1"/>
    </xf>
    <xf numFmtId="43" fontId="7" fillId="0" borderId="22" xfId="1" applyFont="1" applyFill="1" applyBorder="1" applyAlignment="1" applyProtection="1">
      <alignment vertical="center"/>
    </xf>
    <xf numFmtId="170" fontId="8" fillId="0" borderId="22" xfId="0" applyNumberFormat="1" applyFont="1" applyFill="1" applyBorder="1" applyAlignment="1" applyProtection="1">
      <alignment vertical="center"/>
    </xf>
    <xf numFmtId="43" fontId="8" fillId="0" borderId="22" xfId="1" applyFont="1" applyFill="1" applyBorder="1" applyAlignment="1" applyProtection="1">
      <alignment vertical="center"/>
    </xf>
    <xf numFmtId="43" fontId="7" fillId="0" borderId="23" xfId="1" applyFont="1" applyFill="1" applyBorder="1" applyAlignment="1" applyProtection="1">
      <alignment vertical="center"/>
    </xf>
    <xf numFmtId="10" fontId="8" fillId="6" borderId="22" xfId="0" applyNumberFormat="1" applyFont="1" applyFill="1" applyBorder="1" applyAlignment="1" applyProtection="1">
      <alignment horizontal="center" vertical="center"/>
    </xf>
    <xf numFmtId="10" fontId="8" fillId="0" borderId="22" xfId="0" applyNumberFormat="1" applyFont="1" applyFill="1" applyBorder="1" applyAlignment="1" applyProtection="1">
      <alignment vertical="center"/>
    </xf>
    <xf numFmtId="170" fontId="8" fillId="6" borderId="29" xfId="0" applyNumberFormat="1" applyFont="1" applyFill="1" applyBorder="1" applyAlignment="1" applyProtection="1">
      <alignment horizontal="right" vertical="center"/>
    </xf>
    <xf numFmtId="170" fontId="7" fillId="6" borderId="30" xfId="0" applyNumberFormat="1" applyFont="1" applyFill="1" applyBorder="1" applyAlignment="1" applyProtection="1">
      <alignment vertical="center" wrapText="1"/>
    </xf>
    <xf numFmtId="43" fontId="7" fillId="6" borderId="30" xfId="1" applyFont="1" applyFill="1" applyBorder="1" applyAlignment="1" applyProtection="1">
      <alignment vertical="center"/>
    </xf>
    <xf numFmtId="170" fontId="8" fillId="6" borderId="30" xfId="0" applyNumberFormat="1" applyFont="1" applyFill="1" applyBorder="1" applyAlignment="1" applyProtection="1">
      <alignment vertical="center"/>
    </xf>
    <xf numFmtId="43" fontId="8" fillId="6" borderId="30" xfId="1" applyFont="1" applyFill="1" applyBorder="1" applyAlignment="1" applyProtection="1">
      <alignment vertical="center"/>
    </xf>
    <xf numFmtId="43" fontId="7" fillId="6" borderId="31" xfId="1" applyFont="1" applyFill="1" applyBorder="1" applyAlignment="1" applyProtection="1">
      <alignment vertical="center"/>
    </xf>
    <xf numFmtId="170" fontId="8" fillId="0" borderId="0" xfId="0" applyNumberFormat="1" applyFont="1" applyBorder="1" applyAlignment="1" applyProtection="1">
      <alignment horizontal="right" vertical="center"/>
    </xf>
    <xf numFmtId="170" fontId="8" fillId="0" borderId="0" xfId="0" applyNumberFormat="1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/>
    </xf>
    <xf numFmtId="170" fontId="8" fillId="0" borderId="0" xfId="0" applyNumberFormat="1" applyFont="1" applyBorder="1" applyAlignment="1" applyProtection="1">
      <alignment vertical="center"/>
    </xf>
    <xf numFmtId="43" fontId="6" fillId="0" borderId="0" xfId="1" applyFont="1" applyAlignment="1">
      <alignment vertical="center"/>
    </xf>
    <xf numFmtId="43" fontId="7" fillId="0" borderId="0" xfId="1" applyFont="1" applyBorder="1" applyAlignment="1" applyProtection="1">
      <alignment vertical="center"/>
    </xf>
    <xf numFmtId="170" fontId="9" fillId="0" borderId="0" xfId="0" applyNumberFormat="1" applyFont="1" applyBorder="1" applyAlignment="1" applyProtection="1">
      <alignment horizontal="right" vertical="center"/>
    </xf>
    <xf numFmtId="170" fontId="6" fillId="0" borderId="0" xfId="0" applyNumberFormat="1" applyFont="1" applyBorder="1" applyAlignment="1" applyProtection="1">
      <alignment vertical="center" wrapText="1"/>
    </xf>
    <xf numFmtId="43" fontId="6" fillId="0" borderId="0" xfId="1" applyFont="1" applyBorder="1" applyAlignment="1" applyProtection="1">
      <alignment vertical="center"/>
    </xf>
    <xf numFmtId="170" fontId="10" fillId="0" borderId="0" xfId="0" applyNumberFormat="1" applyFont="1" applyBorder="1" applyAlignment="1" applyProtection="1">
      <alignment vertical="center"/>
    </xf>
    <xf numFmtId="43" fontId="11" fillId="0" borderId="0" xfId="1" applyFont="1" applyAlignment="1">
      <alignment horizontal="center" vertical="center"/>
    </xf>
    <xf numFmtId="43" fontId="12" fillId="0" borderId="0" xfId="1" applyFont="1" applyBorder="1" applyAlignment="1" applyProtection="1">
      <alignment vertical="center"/>
    </xf>
  </cellXfs>
  <cellStyles count="8">
    <cellStyle name="Millares" xfId="1" builtinId="3"/>
    <cellStyle name="Millares 10" xfId="2"/>
    <cellStyle name="Normal" xfId="0" builtinId="0"/>
    <cellStyle name="Normal 2_2009-123" xfId="5"/>
    <cellStyle name="Normal 2_2011-102" xfId="4"/>
    <cellStyle name="Normal 3" xfId="3"/>
    <cellStyle name="Normal 9_2009-123" xfId="6"/>
    <cellStyle name="Porcentual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6"/>
  <sheetViews>
    <sheetView workbookViewId="0">
      <selection activeCell="C20" sqref="C20"/>
    </sheetView>
  </sheetViews>
  <sheetFormatPr baseColWidth="10" defaultRowHeight="15" x14ac:dyDescent="0.25"/>
  <cols>
    <col min="3" max="3" width="66.5703125" customWidth="1"/>
  </cols>
  <sheetData>
    <row r="6" spans="1:3" ht="37.5" x14ac:dyDescent="0.25">
      <c r="A6" s="1">
        <v>25</v>
      </c>
      <c r="B6" s="3" t="s">
        <v>0</v>
      </c>
      <c r="C6" s="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G321"/>
  <sheetViews>
    <sheetView tabSelected="1" topLeftCell="A4" workbookViewId="0">
      <selection activeCell="F13" sqref="F13"/>
    </sheetView>
  </sheetViews>
  <sheetFormatPr baseColWidth="10" defaultRowHeight="15" x14ac:dyDescent="0.25"/>
  <cols>
    <col min="1" max="1" width="9.140625" customWidth="1"/>
    <col min="2" max="2" width="50" customWidth="1"/>
    <col min="3" max="3" width="14.7109375" bestFit="1" customWidth="1"/>
    <col min="4" max="4" width="10.85546875" customWidth="1"/>
    <col min="5" max="5" width="16.7109375" customWidth="1"/>
    <col min="6" max="6" width="16" bestFit="1" customWidth="1"/>
    <col min="7" max="7" width="21.28515625" bestFit="1" customWidth="1"/>
  </cols>
  <sheetData>
    <row r="4" spans="1:7" ht="15.75" x14ac:dyDescent="0.25">
      <c r="A4" s="4" t="s">
        <v>2</v>
      </c>
      <c r="B4" s="4"/>
      <c r="C4" s="4"/>
      <c r="D4" s="4"/>
      <c r="E4" s="4"/>
      <c r="F4" s="4"/>
      <c r="G4" s="4"/>
    </row>
    <row r="5" spans="1:7" ht="15.75" x14ac:dyDescent="0.25">
      <c r="A5" s="5" t="s">
        <v>3</v>
      </c>
      <c r="B5" s="5"/>
      <c r="C5" s="5"/>
      <c r="D5" s="5"/>
      <c r="E5" s="5"/>
      <c r="F5" s="5"/>
      <c r="G5" s="5"/>
    </row>
    <row r="6" spans="1:7" ht="15.75" x14ac:dyDescent="0.25">
      <c r="A6" s="6" t="s">
        <v>4</v>
      </c>
      <c r="B6" s="7"/>
      <c r="C6" s="7"/>
      <c r="D6" s="7"/>
      <c r="E6" s="7"/>
      <c r="F6" s="7"/>
      <c r="G6" s="7"/>
    </row>
    <row r="7" spans="1:7" ht="16.5" thickBot="1" x14ac:dyDescent="0.3">
      <c r="A7" s="8"/>
      <c r="B7" s="9"/>
      <c r="C7" s="9"/>
      <c r="D7" s="9"/>
      <c r="E7" s="10"/>
      <c r="F7" s="10"/>
      <c r="G7" s="10"/>
    </row>
    <row r="8" spans="1:7" ht="17.25" thickTop="1" thickBot="1" x14ac:dyDescent="0.3">
      <c r="A8" s="11" t="s">
        <v>5</v>
      </c>
      <c r="B8" s="12" t="s">
        <v>6</v>
      </c>
      <c r="C8" s="13" t="s">
        <v>7</v>
      </c>
      <c r="D8" s="12" t="s">
        <v>8</v>
      </c>
      <c r="E8" s="14" t="s">
        <v>9</v>
      </c>
      <c r="F8" s="14" t="s">
        <v>10</v>
      </c>
      <c r="G8" s="15" t="s">
        <v>11</v>
      </c>
    </row>
    <row r="9" spans="1:7" ht="16.5" thickTop="1" x14ac:dyDescent="0.25">
      <c r="A9" s="16"/>
      <c r="B9" s="17"/>
      <c r="C9" s="18"/>
      <c r="D9" s="18"/>
      <c r="E9" s="18"/>
      <c r="F9" s="18"/>
      <c r="G9" s="19"/>
    </row>
    <row r="10" spans="1:7" ht="31.5" x14ac:dyDescent="0.25">
      <c r="A10" s="20" t="s">
        <v>12</v>
      </c>
      <c r="B10" s="21" t="s">
        <v>13</v>
      </c>
      <c r="C10" s="22"/>
      <c r="D10" s="22"/>
      <c r="E10" s="22"/>
      <c r="F10" s="22"/>
      <c r="G10" s="23"/>
    </row>
    <row r="11" spans="1:7" ht="15.75" x14ac:dyDescent="0.25">
      <c r="A11" s="20"/>
      <c r="B11" s="21"/>
      <c r="C11" s="22"/>
      <c r="D11" s="22"/>
      <c r="E11" s="22"/>
      <c r="F11" s="22"/>
      <c r="G11" s="23"/>
    </row>
    <row r="12" spans="1:7" ht="15.75" x14ac:dyDescent="0.25">
      <c r="A12" s="24">
        <v>1</v>
      </c>
      <c r="B12" s="25" t="s">
        <v>14</v>
      </c>
      <c r="C12" s="26"/>
      <c r="D12" s="26"/>
      <c r="E12" s="26"/>
      <c r="F12" s="26"/>
      <c r="G12" s="27"/>
    </row>
    <row r="13" spans="1:7" ht="15.75" x14ac:dyDescent="0.25">
      <c r="A13" s="28">
        <f>+A12+0.1</f>
        <v>1.1000000000000001</v>
      </c>
      <c r="B13" s="29" t="s">
        <v>15</v>
      </c>
      <c r="C13" s="30">
        <v>1</v>
      </c>
      <c r="D13" s="31" t="s">
        <v>16</v>
      </c>
      <c r="E13" s="30"/>
      <c r="F13" s="32">
        <f>ROUND(E13*C13,2)</f>
        <v>0</v>
      </c>
      <c r="G13" s="27"/>
    </row>
    <row r="14" spans="1:7" ht="15.75" x14ac:dyDescent="0.25">
      <c r="A14" s="28">
        <f t="shared" ref="A14:A16" si="0">+A13+0.1</f>
        <v>1.2000000000000002</v>
      </c>
      <c r="B14" s="33" t="s">
        <v>17</v>
      </c>
      <c r="C14" s="30">
        <v>1</v>
      </c>
      <c r="D14" s="31" t="s">
        <v>16</v>
      </c>
      <c r="E14" s="34"/>
      <c r="F14" s="32">
        <f t="shared" ref="F14:F16" si="1">ROUND(E14*C14,2)</f>
        <v>0</v>
      </c>
      <c r="G14" s="27"/>
    </row>
    <row r="15" spans="1:7" ht="15.75" x14ac:dyDescent="0.25">
      <c r="A15" s="28">
        <f t="shared" si="0"/>
        <v>1.3000000000000003</v>
      </c>
      <c r="B15" s="33" t="s">
        <v>18</v>
      </c>
      <c r="C15" s="30">
        <f>57.4*102.2*0.02</f>
        <v>117.32559999999999</v>
      </c>
      <c r="D15" s="31" t="s">
        <v>19</v>
      </c>
      <c r="E15" s="34"/>
      <c r="F15" s="32">
        <f t="shared" si="1"/>
        <v>0</v>
      </c>
      <c r="G15" s="27"/>
    </row>
    <row r="16" spans="1:7" ht="15.75" x14ac:dyDescent="0.25">
      <c r="A16" s="28">
        <f t="shared" si="0"/>
        <v>1.4000000000000004</v>
      </c>
      <c r="B16" s="33" t="s">
        <v>20</v>
      </c>
      <c r="C16" s="30">
        <v>1</v>
      </c>
      <c r="D16" s="31" t="s">
        <v>16</v>
      </c>
      <c r="E16" s="34"/>
      <c r="F16" s="32">
        <f t="shared" si="1"/>
        <v>0</v>
      </c>
      <c r="G16" s="27">
        <f>SUM(F13:F16)</f>
        <v>0</v>
      </c>
    </row>
    <row r="17" spans="1:7" ht="15.75" x14ac:dyDescent="0.25">
      <c r="A17" s="28"/>
      <c r="B17" s="33"/>
      <c r="C17" s="30"/>
      <c r="D17" s="31"/>
      <c r="E17" s="34"/>
      <c r="F17" s="32"/>
      <c r="G17" s="27"/>
    </row>
    <row r="18" spans="1:7" ht="15.75" x14ac:dyDescent="0.25">
      <c r="A18" s="35">
        <v>2</v>
      </c>
      <c r="B18" s="36" t="s">
        <v>21</v>
      </c>
      <c r="C18" s="22"/>
      <c r="D18" s="22"/>
      <c r="E18" s="37"/>
      <c r="F18" s="22"/>
      <c r="G18" s="23"/>
    </row>
    <row r="19" spans="1:7" ht="15.75" x14ac:dyDescent="0.25">
      <c r="A19" s="38">
        <f>A18+0.1</f>
        <v>2.1</v>
      </c>
      <c r="B19" s="39" t="s">
        <v>22</v>
      </c>
      <c r="C19" s="40">
        <f>57.4*2+102.2*2</f>
        <v>319.2</v>
      </c>
      <c r="D19" s="40" t="s">
        <v>23</v>
      </c>
      <c r="E19" s="41"/>
      <c r="F19" s="32">
        <f>+C19*E19</f>
        <v>0</v>
      </c>
      <c r="G19" s="23"/>
    </row>
    <row r="20" spans="1:7" ht="15.75" x14ac:dyDescent="0.25">
      <c r="A20" s="38">
        <f>A19+0.1</f>
        <v>2.2000000000000002</v>
      </c>
      <c r="B20" s="39" t="s">
        <v>24</v>
      </c>
      <c r="C20" s="22"/>
      <c r="D20" s="22"/>
      <c r="E20" s="41"/>
      <c r="F20" s="22"/>
      <c r="G20" s="23"/>
    </row>
    <row r="21" spans="1:7" ht="30" x14ac:dyDescent="0.25">
      <c r="A21" s="38" t="s">
        <v>25</v>
      </c>
      <c r="B21" s="39" t="s">
        <v>26</v>
      </c>
      <c r="C21" s="32">
        <f>C19*0.45*1</f>
        <v>143.63999999999999</v>
      </c>
      <c r="D21" s="42" t="s">
        <v>19</v>
      </c>
      <c r="E21" s="30"/>
      <c r="F21" s="32">
        <f>+C21*E21</f>
        <v>0</v>
      </c>
      <c r="G21" s="43"/>
    </row>
    <row r="22" spans="1:7" ht="15.75" x14ac:dyDescent="0.25">
      <c r="A22" s="38" t="s">
        <v>27</v>
      </c>
      <c r="B22" s="39" t="s">
        <v>28</v>
      </c>
      <c r="C22" s="32">
        <f>C19*0.3*0.75</f>
        <v>71.819999999999993</v>
      </c>
      <c r="D22" s="42" t="s">
        <v>19</v>
      </c>
      <c r="E22" s="30"/>
      <c r="F22" s="32">
        <f>+C22*E22</f>
        <v>0</v>
      </c>
      <c r="G22" s="43"/>
    </row>
    <row r="23" spans="1:7" ht="15.75" x14ac:dyDescent="0.25">
      <c r="A23" s="38" t="s">
        <v>29</v>
      </c>
      <c r="B23" s="44" t="s">
        <v>30</v>
      </c>
      <c r="C23" s="32">
        <f>(C21-C22)*1.3</f>
        <v>93.366</v>
      </c>
      <c r="D23" s="42" t="s">
        <v>19</v>
      </c>
      <c r="E23" s="30"/>
      <c r="F23" s="45">
        <f>+C23*E23</f>
        <v>0</v>
      </c>
      <c r="G23" s="43"/>
    </row>
    <row r="24" spans="1:7" ht="15.75" x14ac:dyDescent="0.25">
      <c r="A24" s="38">
        <f>A20+0.1</f>
        <v>2.3000000000000003</v>
      </c>
      <c r="B24" s="46" t="s">
        <v>31</v>
      </c>
      <c r="C24" s="32"/>
      <c r="D24" s="47"/>
      <c r="E24" s="48"/>
      <c r="F24" s="49"/>
      <c r="G24" s="50"/>
    </row>
    <row r="25" spans="1:7" ht="15.75" x14ac:dyDescent="0.25">
      <c r="A25" s="38" t="s">
        <v>32</v>
      </c>
      <c r="B25" s="46" t="s">
        <v>33</v>
      </c>
      <c r="C25" s="32">
        <f>C19*0.45*0.25</f>
        <v>35.909999999999997</v>
      </c>
      <c r="D25" s="42" t="s">
        <v>19</v>
      </c>
      <c r="E25" s="48"/>
      <c r="F25" s="45">
        <f t="shared" ref="F25:F32" si="2">+C25*E25</f>
        <v>0</v>
      </c>
      <c r="G25" s="50"/>
    </row>
    <row r="26" spans="1:7" ht="15.75" x14ac:dyDescent="0.25">
      <c r="A26" s="38" t="s">
        <v>34</v>
      </c>
      <c r="B26" s="46" t="s">
        <v>35</v>
      </c>
      <c r="C26" s="32">
        <f>0.9*0.9*0.25*62</f>
        <v>12.555000000000001</v>
      </c>
      <c r="D26" s="42" t="s">
        <v>19</v>
      </c>
      <c r="E26" s="48"/>
      <c r="F26" s="45">
        <f t="shared" si="2"/>
        <v>0</v>
      </c>
      <c r="G26" s="50"/>
    </row>
    <row r="27" spans="1:7" ht="15.75" x14ac:dyDescent="0.25">
      <c r="A27" s="38" t="s">
        <v>36</v>
      </c>
      <c r="B27" s="46" t="s">
        <v>37</v>
      </c>
      <c r="C27" s="32">
        <f>0.2*0.15*2.35*62</f>
        <v>4.3709999999999996</v>
      </c>
      <c r="D27" s="42" t="s">
        <v>19</v>
      </c>
      <c r="E27" s="48"/>
      <c r="F27" s="45">
        <f t="shared" si="2"/>
        <v>0</v>
      </c>
      <c r="G27" s="50"/>
    </row>
    <row r="28" spans="1:7" ht="15.75" x14ac:dyDescent="0.25">
      <c r="A28" s="38" t="s">
        <v>38</v>
      </c>
      <c r="B28" s="46" t="s">
        <v>39</v>
      </c>
      <c r="C28" s="32">
        <f>(C19-4)*0.15*0.2</f>
        <v>9.4559999999999995</v>
      </c>
      <c r="D28" s="42" t="s">
        <v>19</v>
      </c>
      <c r="E28" s="48"/>
      <c r="F28" s="45">
        <f t="shared" si="2"/>
        <v>0</v>
      </c>
      <c r="G28" s="50"/>
    </row>
    <row r="29" spans="1:7" ht="15.75" x14ac:dyDescent="0.25">
      <c r="A29" s="38">
        <f>A24+0.1</f>
        <v>2.4000000000000004</v>
      </c>
      <c r="B29" s="46" t="s">
        <v>40</v>
      </c>
      <c r="C29" s="32">
        <f>(2.35*(C19-4))</f>
        <v>740.72</v>
      </c>
      <c r="D29" s="47" t="s">
        <v>41</v>
      </c>
      <c r="E29" s="48"/>
      <c r="F29" s="45">
        <f t="shared" si="2"/>
        <v>0</v>
      </c>
      <c r="G29" s="50"/>
    </row>
    <row r="30" spans="1:7" ht="15.75" x14ac:dyDescent="0.25">
      <c r="A30" s="38">
        <f>A29+0.1</f>
        <v>2.5000000000000004</v>
      </c>
      <c r="B30" s="46" t="s">
        <v>42</v>
      </c>
      <c r="C30" s="32">
        <f>(1.6*(C19-4))*2</f>
        <v>1008.64</v>
      </c>
      <c r="D30" s="47" t="s">
        <v>41</v>
      </c>
      <c r="E30" s="48"/>
      <c r="F30" s="45">
        <f t="shared" si="2"/>
        <v>0</v>
      </c>
      <c r="G30" s="50"/>
    </row>
    <row r="31" spans="1:7" ht="30" x14ac:dyDescent="0.25">
      <c r="A31" s="38">
        <f t="shared" ref="A31:A32" si="3">A30+0.1</f>
        <v>2.6000000000000005</v>
      </c>
      <c r="B31" s="46" t="s">
        <v>43</v>
      </c>
      <c r="C31" s="32">
        <v>1</v>
      </c>
      <c r="D31" s="47" t="s">
        <v>44</v>
      </c>
      <c r="E31" s="48"/>
      <c r="F31" s="45">
        <f t="shared" si="2"/>
        <v>0</v>
      </c>
      <c r="G31" s="50"/>
    </row>
    <row r="32" spans="1:7" ht="15.75" x14ac:dyDescent="0.25">
      <c r="A32" s="38">
        <f t="shared" si="3"/>
        <v>2.7000000000000006</v>
      </c>
      <c r="B32" s="46" t="s">
        <v>45</v>
      </c>
      <c r="C32" s="32">
        <f>C19</f>
        <v>319.2</v>
      </c>
      <c r="D32" s="47" t="s">
        <v>23</v>
      </c>
      <c r="E32" s="48"/>
      <c r="F32" s="45">
        <f t="shared" si="2"/>
        <v>0</v>
      </c>
      <c r="G32" s="50">
        <f>SUM(F19:F32)</f>
        <v>0</v>
      </c>
    </row>
    <row r="33" spans="1:7" ht="15.75" x14ac:dyDescent="0.25">
      <c r="A33" s="51"/>
      <c r="B33" s="52"/>
      <c r="C33" s="32"/>
      <c r="D33" s="47"/>
      <c r="E33" s="48"/>
      <c r="F33" s="45"/>
      <c r="G33" s="50"/>
    </row>
    <row r="34" spans="1:7" ht="15.75" x14ac:dyDescent="0.25">
      <c r="A34" s="35">
        <v>3</v>
      </c>
      <c r="B34" s="52" t="s">
        <v>46</v>
      </c>
      <c r="C34" s="53"/>
      <c r="D34" s="47"/>
      <c r="E34" s="48"/>
      <c r="F34" s="49"/>
      <c r="G34" s="50"/>
    </row>
    <row r="35" spans="1:7" ht="30" x14ac:dyDescent="0.25">
      <c r="A35" s="38">
        <f>A34+0.1</f>
        <v>3.1</v>
      </c>
      <c r="B35" s="46" t="s">
        <v>47</v>
      </c>
      <c r="C35" s="53">
        <v>1</v>
      </c>
      <c r="D35" s="47" t="s">
        <v>16</v>
      </c>
      <c r="E35" s="48"/>
      <c r="F35" s="45">
        <f t="shared" ref="F35:F38" si="4">+C35*E35</f>
        <v>0</v>
      </c>
      <c r="G35" s="50"/>
    </row>
    <row r="36" spans="1:7" ht="15.75" x14ac:dyDescent="0.25">
      <c r="A36" s="38">
        <f t="shared" ref="A36:A38" si="5">A35+0.1</f>
        <v>3.2</v>
      </c>
      <c r="B36" s="46" t="s">
        <v>48</v>
      </c>
      <c r="C36" s="53">
        <v>526.55999999999995</v>
      </c>
      <c r="D36" s="47" t="s">
        <v>49</v>
      </c>
      <c r="E36" s="48"/>
      <c r="F36" s="45">
        <f t="shared" si="4"/>
        <v>0</v>
      </c>
      <c r="G36" s="50"/>
    </row>
    <row r="37" spans="1:7" ht="15.75" x14ac:dyDescent="0.25">
      <c r="A37" s="38">
        <f t="shared" si="5"/>
        <v>3.3000000000000003</v>
      </c>
      <c r="B37" s="46" t="s">
        <v>50</v>
      </c>
      <c r="C37" s="53">
        <v>526.55999999999995</v>
      </c>
      <c r="D37" s="47" t="s">
        <v>49</v>
      </c>
      <c r="E37" s="48"/>
      <c r="F37" s="45">
        <f t="shared" si="4"/>
        <v>0</v>
      </c>
      <c r="G37" s="50"/>
    </row>
    <row r="38" spans="1:7" ht="15.75" x14ac:dyDescent="0.25">
      <c r="A38" s="38">
        <f t="shared" si="5"/>
        <v>3.4000000000000004</v>
      </c>
      <c r="B38" s="46" t="s">
        <v>51</v>
      </c>
      <c r="C38" s="53">
        <v>1</v>
      </c>
      <c r="D38" s="47" t="s">
        <v>52</v>
      </c>
      <c r="E38" s="48"/>
      <c r="F38" s="45">
        <f t="shared" si="4"/>
        <v>0</v>
      </c>
      <c r="G38" s="50">
        <f>SUM(F35:F38)</f>
        <v>0</v>
      </c>
    </row>
    <row r="39" spans="1:7" ht="16.5" thickBot="1" x14ac:dyDescent="0.3">
      <c r="A39" s="54"/>
      <c r="B39" s="55"/>
      <c r="C39" s="56"/>
      <c r="D39" s="57"/>
      <c r="E39" s="58"/>
      <c r="F39" s="59"/>
      <c r="G39" s="60"/>
    </row>
    <row r="40" spans="1:7" ht="16.5" thickTop="1" x14ac:dyDescent="0.25">
      <c r="A40" s="61">
        <v>4</v>
      </c>
      <c r="B40" s="52" t="s">
        <v>53</v>
      </c>
      <c r="C40" s="62"/>
      <c r="D40" s="47"/>
      <c r="E40" s="63"/>
      <c r="F40" s="62"/>
      <c r="G40" s="64"/>
    </row>
    <row r="41" spans="1:7" ht="15.75" x14ac:dyDescent="0.25">
      <c r="A41" s="65">
        <f>A40+0.1</f>
        <v>4.0999999999999996</v>
      </c>
      <c r="B41" s="66" t="s">
        <v>54</v>
      </c>
      <c r="C41" s="53">
        <v>1</v>
      </c>
      <c r="D41" s="47" t="s">
        <v>52</v>
      </c>
      <c r="E41" s="48"/>
      <c r="F41" s="45">
        <f t="shared" ref="F41" si="6">+C41*E41</f>
        <v>0</v>
      </c>
      <c r="G41" s="67"/>
    </row>
    <row r="42" spans="1:7" ht="15.75" x14ac:dyDescent="0.25">
      <c r="A42" s="65">
        <f>A41+0.1</f>
        <v>4.1999999999999993</v>
      </c>
      <c r="B42" s="66" t="s">
        <v>55</v>
      </c>
      <c r="C42" s="68">
        <f>1.8*(1.3+1.95+1.8)</f>
        <v>9.09</v>
      </c>
      <c r="D42" s="47" t="s">
        <v>49</v>
      </c>
      <c r="E42" s="69"/>
      <c r="F42" s="32">
        <f>+C42*E42</f>
        <v>0</v>
      </c>
      <c r="G42" s="67"/>
    </row>
    <row r="43" spans="1:7" ht="15.75" x14ac:dyDescent="0.25">
      <c r="A43" s="65">
        <f t="shared" ref="A43:A49" si="7">A42+0.1</f>
        <v>4.2999999999999989</v>
      </c>
      <c r="B43" s="66" t="s">
        <v>56</v>
      </c>
      <c r="C43" s="68">
        <f>(1.3*1.95)</f>
        <v>2.5350000000000001</v>
      </c>
      <c r="D43" s="47" t="s">
        <v>49</v>
      </c>
      <c r="E43" s="69"/>
      <c r="F43" s="32">
        <f>+C43*E43</f>
        <v>0</v>
      </c>
      <c r="G43" s="67"/>
    </row>
    <row r="44" spans="1:7" ht="15.75" x14ac:dyDescent="0.25">
      <c r="A44" s="65">
        <f t="shared" si="7"/>
        <v>4.3999999999999986</v>
      </c>
      <c r="B44" s="70" t="s">
        <v>57</v>
      </c>
      <c r="C44" s="62">
        <v>4</v>
      </c>
      <c r="D44" s="71" t="s">
        <v>58</v>
      </c>
      <c r="E44" s="63"/>
      <c r="F44" s="32">
        <f t="shared" ref="F44:F50" si="8">+C44*E44</f>
        <v>0</v>
      </c>
      <c r="G44" s="64"/>
    </row>
    <row r="45" spans="1:7" ht="15.75" x14ac:dyDescent="0.25">
      <c r="A45" s="65">
        <f t="shared" si="7"/>
        <v>4.4999999999999982</v>
      </c>
      <c r="B45" s="70" t="s">
        <v>59</v>
      </c>
      <c r="C45" s="62">
        <f>(1.2*1.2*3+0.6*0.6)*10.76</f>
        <v>50.356800000000007</v>
      </c>
      <c r="D45" s="47" t="s">
        <v>60</v>
      </c>
      <c r="E45" s="63"/>
      <c r="F45" s="32">
        <f t="shared" si="8"/>
        <v>0</v>
      </c>
      <c r="G45" s="64"/>
    </row>
    <row r="46" spans="1:7" ht="15.75" x14ac:dyDescent="0.25">
      <c r="A46" s="65">
        <f t="shared" si="7"/>
        <v>4.5999999999999979</v>
      </c>
      <c r="B46" s="70" t="s">
        <v>61</v>
      </c>
      <c r="C46" s="53">
        <v>1</v>
      </c>
      <c r="D46" s="71" t="s">
        <v>58</v>
      </c>
      <c r="E46" s="63"/>
      <c r="F46" s="32">
        <f t="shared" si="8"/>
        <v>0</v>
      </c>
      <c r="G46" s="64"/>
    </row>
    <row r="47" spans="1:7" ht="15.75" x14ac:dyDescent="0.25">
      <c r="A47" s="65">
        <f t="shared" si="7"/>
        <v>4.6999999999999975</v>
      </c>
      <c r="B47" s="70" t="s">
        <v>62</v>
      </c>
      <c r="C47" s="53">
        <v>1</v>
      </c>
      <c r="D47" s="71" t="s">
        <v>58</v>
      </c>
      <c r="E47" s="63"/>
      <c r="F47" s="32">
        <f t="shared" si="8"/>
        <v>0</v>
      </c>
      <c r="G47" s="64"/>
    </row>
    <row r="48" spans="1:7" ht="15.75" x14ac:dyDescent="0.25">
      <c r="A48" s="65">
        <f t="shared" si="7"/>
        <v>4.7999999999999972</v>
      </c>
      <c r="B48" s="70" t="s">
        <v>63</v>
      </c>
      <c r="C48" s="62">
        <f>25*0.7</f>
        <v>17.5</v>
      </c>
      <c r="D48" s="71" t="s">
        <v>41</v>
      </c>
      <c r="E48" s="63"/>
      <c r="F48" s="32">
        <f t="shared" si="8"/>
        <v>0</v>
      </c>
      <c r="G48" s="64"/>
    </row>
    <row r="49" spans="1:7" ht="15.75" x14ac:dyDescent="0.25">
      <c r="A49" s="65">
        <f t="shared" si="7"/>
        <v>4.8999999999999968</v>
      </c>
      <c r="B49" s="70" t="s">
        <v>64</v>
      </c>
      <c r="C49" s="62">
        <v>33.82</v>
      </c>
      <c r="D49" s="71" t="s">
        <v>41</v>
      </c>
      <c r="E49" s="63"/>
      <c r="F49" s="32">
        <f t="shared" si="8"/>
        <v>0</v>
      </c>
      <c r="G49" s="64"/>
    </row>
    <row r="50" spans="1:7" ht="15.75" x14ac:dyDescent="0.25">
      <c r="A50" s="72">
        <f>A41</f>
        <v>4.0999999999999996</v>
      </c>
      <c r="B50" s="70" t="s">
        <v>65</v>
      </c>
      <c r="C50" s="62">
        <v>33.82</v>
      </c>
      <c r="D50" s="71" t="s">
        <v>41</v>
      </c>
      <c r="E50" s="63"/>
      <c r="F50" s="32">
        <f t="shared" si="8"/>
        <v>0</v>
      </c>
      <c r="G50" s="64">
        <f>SUM(F41:F50)</f>
        <v>0</v>
      </c>
    </row>
    <row r="51" spans="1:7" ht="15.75" x14ac:dyDescent="0.25">
      <c r="A51" s="65"/>
      <c r="B51" s="70"/>
      <c r="C51" s="62"/>
      <c r="D51" s="71"/>
      <c r="E51" s="63"/>
      <c r="F51" s="62"/>
      <c r="G51" s="64"/>
    </row>
    <row r="52" spans="1:7" ht="31.5" x14ac:dyDescent="0.25">
      <c r="A52" s="35">
        <v>5</v>
      </c>
      <c r="B52" s="73" t="s">
        <v>66</v>
      </c>
      <c r="C52" s="40"/>
      <c r="D52" s="22"/>
      <c r="E52" s="41"/>
      <c r="F52" s="22"/>
      <c r="G52" s="23"/>
    </row>
    <row r="53" spans="1:7" ht="15.75" x14ac:dyDescent="0.25">
      <c r="A53" s="38">
        <f>A52+0.1</f>
        <v>5.0999999999999996</v>
      </c>
      <c r="B53" s="44" t="s">
        <v>22</v>
      </c>
      <c r="C53" s="32">
        <v>1</v>
      </c>
      <c r="D53" s="42" t="s">
        <v>16</v>
      </c>
      <c r="E53" s="74"/>
      <c r="F53" s="32">
        <f>+C53*E53</f>
        <v>0</v>
      </c>
      <c r="G53" s="43"/>
    </row>
    <row r="54" spans="1:7" x14ac:dyDescent="0.25">
      <c r="A54" s="38">
        <f t="shared" ref="A54:A57" si="9">A53+0.1</f>
        <v>5.1999999999999993</v>
      </c>
      <c r="B54" s="44" t="s">
        <v>67</v>
      </c>
      <c r="C54" s="32">
        <f>0.8*0.45*(1.6*3+2.85*2)</f>
        <v>3.7800000000000002</v>
      </c>
      <c r="D54" s="42" t="s">
        <v>19</v>
      </c>
      <c r="E54" s="74"/>
      <c r="F54" s="32">
        <f>+C54*E54</f>
        <v>0</v>
      </c>
      <c r="G54" s="75"/>
    </row>
    <row r="55" spans="1:7" ht="15.75" x14ac:dyDescent="0.25">
      <c r="A55" s="38">
        <f t="shared" si="9"/>
        <v>5.2999999999999989</v>
      </c>
      <c r="B55" s="44" t="s">
        <v>28</v>
      </c>
      <c r="C55" s="32">
        <f>0.6*0.3*(1.6*3+2.85*2)</f>
        <v>1.89</v>
      </c>
      <c r="D55" s="42" t="s">
        <v>19</v>
      </c>
      <c r="E55" s="74"/>
      <c r="F55" s="32">
        <f>+C55*E55</f>
        <v>0</v>
      </c>
      <c r="G55" s="43"/>
    </row>
    <row r="56" spans="1:7" ht="15.75" x14ac:dyDescent="0.25">
      <c r="A56" s="38">
        <f t="shared" si="9"/>
        <v>5.3999999999999986</v>
      </c>
      <c r="B56" s="39" t="s">
        <v>68</v>
      </c>
      <c r="C56" s="32">
        <f>(C54-C55)*1.2</f>
        <v>2.2680000000000002</v>
      </c>
      <c r="D56" s="42" t="s">
        <v>19</v>
      </c>
      <c r="E56" s="74"/>
      <c r="F56" s="32">
        <f>+C56*E56</f>
        <v>0</v>
      </c>
      <c r="G56" s="43"/>
    </row>
    <row r="57" spans="1:7" ht="15.75" x14ac:dyDescent="0.25">
      <c r="A57" s="51">
        <f t="shared" si="9"/>
        <v>5.4999999999999982</v>
      </c>
      <c r="B57" s="36" t="s">
        <v>31</v>
      </c>
      <c r="C57" s="32"/>
      <c r="D57" s="42"/>
      <c r="E57" s="74"/>
      <c r="F57" s="32"/>
      <c r="G57" s="75"/>
    </row>
    <row r="58" spans="1:7" x14ac:dyDescent="0.25">
      <c r="A58" s="76" t="s">
        <v>69</v>
      </c>
      <c r="B58" s="44" t="s">
        <v>70</v>
      </c>
      <c r="C58" s="45">
        <f>(1.6*3+2.85*2)*0.45*0.2</f>
        <v>0.94500000000000017</v>
      </c>
      <c r="D58" s="42" t="s">
        <v>19</v>
      </c>
      <c r="E58" s="30"/>
      <c r="F58" s="45">
        <f>+C58*E58</f>
        <v>0</v>
      </c>
      <c r="G58" s="77"/>
    </row>
    <row r="59" spans="1:7" ht="15.75" x14ac:dyDescent="0.25">
      <c r="A59" s="76" t="s">
        <v>71</v>
      </c>
      <c r="B59" s="44" t="s">
        <v>72</v>
      </c>
      <c r="C59" s="32">
        <f>1.6*2.85*0.1</f>
        <v>0.45600000000000007</v>
      </c>
      <c r="D59" s="42" t="s">
        <v>19</v>
      </c>
      <c r="E59" s="74"/>
      <c r="F59" s="45">
        <f>+C59*E59</f>
        <v>0</v>
      </c>
      <c r="G59" s="43"/>
    </row>
    <row r="60" spans="1:7" x14ac:dyDescent="0.25">
      <c r="A60" s="76" t="s">
        <v>73</v>
      </c>
      <c r="B60" s="44" t="s">
        <v>74</v>
      </c>
      <c r="C60" s="78">
        <f>0.15*0.2*(2.85*2+1.6*3)*2</f>
        <v>0.63</v>
      </c>
      <c r="D60" s="42" t="s">
        <v>19</v>
      </c>
      <c r="E60" s="74"/>
      <c r="F60" s="45">
        <f>+C60*E60</f>
        <v>0</v>
      </c>
      <c r="G60" s="75"/>
    </row>
    <row r="61" spans="1:7" ht="15.75" x14ac:dyDescent="0.25">
      <c r="A61" s="76" t="s">
        <v>75</v>
      </c>
      <c r="B61" s="44" t="s">
        <v>76</v>
      </c>
      <c r="C61" s="32">
        <f>2.5*3.45*0.1</f>
        <v>0.86250000000000004</v>
      </c>
      <c r="D61" s="42" t="s">
        <v>19</v>
      </c>
      <c r="E61" s="74"/>
      <c r="F61" s="45">
        <f>+C61*E61</f>
        <v>0</v>
      </c>
      <c r="G61" s="43"/>
    </row>
    <row r="62" spans="1:7" ht="15.75" x14ac:dyDescent="0.25">
      <c r="A62" s="51">
        <f>A57+0.1</f>
        <v>5.5999999999999979</v>
      </c>
      <c r="B62" s="36" t="s">
        <v>77</v>
      </c>
      <c r="C62" s="32"/>
      <c r="D62" s="42"/>
      <c r="E62" s="74"/>
      <c r="F62" s="32"/>
      <c r="G62" s="43"/>
    </row>
    <row r="63" spans="1:7" ht="15.75" x14ac:dyDescent="0.25">
      <c r="A63" s="76" t="s">
        <v>78</v>
      </c>
      <c r="B63" s="39" t="s">
        <v>79</v>
      </c>
      <c r="C63" s="32">
        <f>2.1*(1.6*3+2.85*2)-(2.1*0.8+1.1*1.2)</f>
        <v>19.05</v>
      </c>
      <c r="D63" s="42" t="s">
        <v>41</v>
      </c>
      <c r="E63" s="74"/>
      <c r="F63" s="45">
        <f t="shared" ref="F63:F71" si="10">+C63*E63</f>
        <v>0</v>
      </c>
      <c r="G63" s="43"/>
    </row>
    <row r="64" spans="1:7" ht="15.75" x14ac:dyDescent="0.25">
      <c r="A64" s="76" t="s">
        <v>80</v>
      </c>
      <c r="B64" s="39" t="s">
        <v>81</v>
      </c>
      <c r="C64" s="32">
        <f>(2.1*0.8+1.1*1.2)</f>
        <v>3</v>
      </c>
      <c r="D64" s="42" t="s">
        <v>41</v>
      </c>
      <c r="E64" s="74"/>
      <c r="F64" s="45">
        <f t="shared" si="10"/>
        <v>0</v>
      </c>
      <c r="G64" s="43"/>
    </row>
    <row r="65" spans="1:7" x14ac:dyDescent="0.25">
      <c r="A65" s="38">
        <f>A62+0.1</f>
        <v>5.6999999999999975</v>
      </c>
      <c r="B65" s="44" t="s">
        <v>82</v>
      </c>
      <c r="C65" s="32">
        <f>C63*2+C61/0.1+10</f>
        <v>56.725000000000001</v>
      </c>
      <c r="D65" s="42" t="s">
        <v>41</v>
      </c>
      <c r="E65" s="74"/>
      <c r="F65" s="32">
        <f t="shared" si="10"/>
        <v>0</v>
      </c>
      <c r="G65" s="75"/>
    </row>
    <row r="66" spans="1:7" ht="15.75" x14ac:dyDescent="0.25">
      <c r="A66" s="38">
        <f>A65+0.1</f>
        <v>5.7999999999999972</v>
      </c>
      <c r="B66" s="44" t="s">
        <v>83</v>
      </c>
      <c r="C66" s="32">
        <f>C61/0.1</f>
        <v>8.625</v>
      </c>
      <c r="D66" s="42" t="s">
        <v>41</v>
      </c>
      <c r="E66" s="74"/>
      <c r="F66" s="32">
        <f t="shared" si="10"/>
        <v>0</v>
      </c>
      <c r="G66" s="43"/>
    </row>
    <row r="67" spans="1:7" ht="15.75" x14ac:dyDescent="0.25">
      <c r="A67" s="38">
        <f>A66+0.1</f>
        <v>5.8999999999999968</v>
      </c>
      <c r="B67" s="44" t="s">
        <v>84</v>
      </c>
      <c r="C67" s="32">
        <f>2.1*4*5+0.9*2*2+1.2*4+0.8*4</f>
        <v>53.6</v>
      </c>
      <c r="D67" s="42" t="s">
        <v>23</v>
      </c>
      <c r="E67" s="74"/>
      <c r="F67" s="32">
        <f t="shared" si="10"/>
        <v>0</v>
      </c>
      <c r="G67" s="43"/>
    </row>
    <row r="68" spans="1:7" ht="15.75" x14ac:dyDescent="0.25">
      <c r="A68" s="79">
        <f>A67-0.8</f>
        <v>5.099999999999997</v>
      </c>
      <c r="B68" s="39" t="s">
        <v>64</v>
      </c>
      <c r="C68" s="32">
        <f>3.45*2.5</f>
        <v>8.625</v>
      </c>
      <c r="D68" s="42" t="s">
        <v>41</v>
      </c>
      <c r="E68" s="74"/>
      <c r="F68" s="32">
        <f t="shared" si="10"/>
        <v>0</v>
      </c>
      <c r="G68" s="43"/>
    </row>
    <row r="69" spans="1:7" ht="15.75" x14ac:dyDescent="0.25">
      <c r="A69" s="79">
        <f>A68+0.01</f>
        <v>5.1099999999999968</v>
      </c>
      <c r="B69" s="39" t="s">
        <v>85</v>
      </c>
      <c r="C69" s="32">
        <f>C65</f>
        <v>56.725000000000001</v>
      </c>
      <c r="D69" s="42" t="s">
        <v>41</v>
      </c>
      <c r="E69" s="74"/>
      <c r="F69" s="32">
        <f t="shared" si="10"/>
        <v>0</v>
      </c>
      <c r="G69" s="43"/>
    </row>
    <row r="70" spans="1:7" ht="15.75" x14ac:dyDescent="0.25">
      <c r="A70" s="79">
        <f>A69+0.01</f>
        <v>5.1199999999999966</v>
      </c>
      <c r="B70" s="44" t="s">
        <v>86</v>
      </c>
      <c r="C70" s="32">
        <v>2</v>
      </c>
      <c r="D70" s="42" t="s">
        <v>44</v>
      </c>
      <c r="E70" s="74"/>
      <c r="F70" s="32">
        <f t="shared" si="10"/>
        <v>0</v>
      </c>
      <c r="G70" s="43"/>
    </row>
    <row r="71" spans="1:7" ht="15.75" x14ac:dyDescent="0.25">
      <c r="A71" s="79">
        <f>A70+0.01</f>
        <v>5.1299999999999963</v>
      </c>
      <c r="B71" s="39" t="s">
        <v>87</v>
      </c>
      <c r="C71" s="32">
        <v>1</v>
      </c>
      <c r="D71" s="42" t="s">
        <v>16</v>
      </c>
      <c r="E71" s="74"/>
      <c r="F71" s="32">
        <f t="shared" si="10"/>
        <v>0</v>
      </c>
      <c r="G71" s="43">
        <f>SUM(F53:F71)</f>
        <v>0</v>
      </c>
    </row>
    <row r="72" spans="1:7" ht="15.75" x14ac:dyDescent="0.25">
      <c r="A72" s="28"/>
      <c r="B72" s="80"/>
      <c r="C72" s="34"/>
      <c r="D72" s="34"/>
      <c r="E72" s="34"/>
      <c r="F72" s="32"/>
      <c r="G72" s="27"/>
    </row>
    <row r="73" spans="1:7" ht="15.75" x14ac:dyDescent="0.25">
      <c r="A73" s="35">
        <v>6</v>
      </c>
      <c r="B73" s="36" t="s">
        <v>88</v>
      </c>
      <c r="C73" s="81"/>
      <c r="D73" s="82"/>
      <c r="E73" s="83"/>
      <c r="F73" s="81"/>
      <c r="G73" s="84"/>
    </row>
    <row r="74" spans="1:7" ht="15.75" x14ac:dyDescent="0.25">
      <c r="A74" s="38">
        <f>+A73+0.1</f>
        <v>6.1</v>
      </c>
      <c r="B74" s="39" t="s">
        <v>89</v>
      </c>
      <c r="C74" s="81">
        <f>91.5*0.3</f>
        <v>27.45</v>
      </c>
      <c r="D74" s="85" t="s">
        <v>19</v>
      </c>
      <c r="E74" s="83"/>
      <c r="F74" s="83">
        <f>E74*C74</f>
        <v>0</v>
      </c>
      <c r="G74" s="86"/>
    </row>
    <row r="75" spans="1:7" ht="15.75" x14ac:dyDescent="0.25">
      <c r="A75" s="38">
        <f>+A74+0.1</f>
        <v>6.1999999999999993</v>
      </c>
      <c r="B75" s="39" t="s">
        <v>90</v>
      </c>
      <c r="C75" s="87">
        <f>C74*1.3</f>
        <v>35.685000000000002</v>
      </c>
      <c r="D75" s="85" t="s">
        <v>19</v>
      </c>
      <c r="E75" s="83"/>
      <c r="F75" s="83">
        <f t="shared" ref="F75:F78" si="11">+C75*E75</f>
        <v>0</v>
      </c>
      <c r="G75" s="86"/>
    </row>
    <row r="76" spans="1:7" ht="15.75" x14ac:dyDescent="0.25">
      <c r="A76" s="38">
        <f t="shared" ref="A76" si="12">+A75+0.1</f>
        <v>6.2999999999999989</v>
      </c>
      <c r="B76" s="39" t="s">
        <v>91</v>
      </c>
      <c r="C76" s="81">
        <f>91.5*0.05</f>
        <v>4.5750000000000002</v>
      </c>
      <c r="D76" s="85" t="s">
        <v>19</v>
      </c>
      <c r="E76" s="83"/>
      <c r="F76" s="83">
        <f t="shared" si="11"/>
        <v>0</v>
      </c>
      <c r="G76" s="86">
        <f>SUM(F74:F76)</f>
        <v>0</v>
      </c>
    </row>
    <row r="77" spans="1:7" ht="15.75" x14ac:dyDescent="0.25">
      <c r="A77" s="38"/>
      <c r="B77" s="39"/>
      <c r="C77" s="81"/>
      <c r="D77" s="85"/>
      <c r="E77" s="83"/>
      <c r="F77" s="83"/>
      <c r="G77" s="86"/>
    </row>
    <row r="78" spans="1:7" ht="31.5" x14ac:dyDescent="0.25">
      <c r="A78" s="35">
        <v>7</v>
      </c>
      <c r="B78" s="36" t="s">
        <v>92</v>
      </c>
      <c r="C78" s="81">
        <v>1</v>
      </c>
      <c r="D78" s="85" t="s">
        <v>16</v>
      </c>
      <c r="E78" s="83"/>
      <c r="F78" s="83">
        <f t="shared" si="11"/>
        <v>0</v>
      </c>
      <c r="G78" s="86">
        <f>SUM(F78)</f>
        <v>0</v>
      </c>
    </row>
    <row r="79" spans="1:7" ht="15.75" x14ac:dyDescent="0.25">
      <c r="A79" s="38"/>
      <c r="B79" s="39"/>
      <c r="C79" s="81"/>
      <c r="D79" s="85"/>
      <c r="E79" s="83"/>
      <c r="F79" s="83"/>
      <c r="G79" s="86"/>
    </row>
    <row r="80" spans="1:7" ht="15.75" x14ac:dyDescent="0.25">
      <c r="A80" s="35">
        <v>8</v>
      </c>
      <c r="B80" s="36" t="s">
        <v>93</v>
      </c>
      <c r="C80" s="81">
        <v>1</v>
      </c>
      <c r="D80" s="85" t="s">
        <v>16</v>
      </c>
      <c r="E80" s="83"/>
      <c r="F80" s="83">
        <f>E80*C80</f>
        <v>0</v>
      </c>
      <c r="G80" s="86">
        <f>SUM(F80)</f>
        <v>0</v>
      </c>
    </row>
    <row r="81" spans="1:7" ht="15.75" x14ac:dyDescent="0.25">
      <c r="A81" s="38"/>
      <c r="B81" s="39"/>
      <c r="C81" s="81"/>
      <c r="D81" s="85"/>
      <c r="E81" s="83"/>
      <c r="F81" s="83"/>
      <c r="G81" s="86"/>
    </row>
    <row r="82" spans="1:7" ht="15.75" x14ac:dyDescent="0.25">
      <c r="A82" s="35">
        <v>9</v>
      </c>
      <c r="B82" s="36" t="s">
        <v>94</v>
      </c>
      <c r="C82" s="81">
        <v>1</v>
      </c>
      <c r="D82" s="85" t="s">
        <v>16</v>
      </c>
      <c r="E82" s="83"/>
      <c r="F82" s="83">
        <f>E82*C82</f>
        <v>0</v>
      </c>
      <c r="G82" s="86">
        <f>SUM(F82)</f>
        <v>0</v>
      </c>
    </row>
    <row r="83" spans="1:7" ht="16.5" thickBot="1" x14ac:dyDescent="0.3">
      <c r="A83" s="38"/>
      <c r="B83" s="39"/>
      <c r="C83" s="81"/>
      <c r="D83" s="85"/>
      <c r="E83" s="83"/>
      <c r="F83" s="83"/>
      <c r="G83" s="86"/>
    </row>
    <row r="84" spans="1:7" ht="17.25" thickTop="1" thickBot="1" x14ac:dyDescent="0.3">
      <c r="A84" s="88"/>
      <c r="B84" s="89" t="s">
        <v>95</v>
      </c>
      <c r="C84" s="90"/>
      <c r="D84" s="91"/>
      <c r="E84" s="90"/>
      <c r="F84" s="92"/>
      <c r="G84" s="93">
        <f>SUM(G15:G82)</f>
        <v>0</v>
      </c>
    </row>
    <row r="85" spans="1:7" ht="16.5" thickTop="1" x14ac:dyDescent="0.25">
      <c r="A85" s="16"/>
      <c r="B85" s="17"/>
      <c r="C85" s="18"/>
      <c r="D85" s="18"/>
      <c r="E85" s="18"/>
      <c r="F85" s="18"/>
      <c r="G85" s="19"/>
    </row>
    <row r="86" spans="1:7" ht="31.5" x14ac:dyDescent="0.25">
      <c r="A86" s="20" t="s">
        <v>96</v>
      </c>
      <c r="B86" s="21" t="s">
        <v>97</v>
      </c>
      <c r="C86" s="22"/>
      <c r="D86" s="22"/>
      <c r="E86" s="22"/>
      <c r="F86" s="22"/>
      <c r="G86" s="23"/>
    </row>
    <row r="87" spans="1:7" ht="15.75" x14ac:dyDescent="0.25">
      <c r="A87" s="20"/>
      <c r="B87" s="21"/>
      <c r="C87" s="22"/>
      <c r="D87" s="22"/>
      <c r="E87" s="22"/>
      <c r="F87" s="22"/>
      <c r="G87" s="23"/>
    </row>
    <row r="88" spans="1:7" ht="15.75" x14ac:dyDescent="0.25">
      <c r="A88" s="24">
        <v>1</v>
      </c>
      <c r="B88" s="25" t="s">
        <v>14</v>
      </c>
      <c r="C88" s="26"/>
      <c r="D88" s="26"/>
      <c r="E88" s="26"/>
      <c r="F88" s="26"/>
      <c r="G88" s="27"/>
    </row>
    <row r="89" spans="1:7" ht="15.75" x14ac:dyDescent="0.25">
      <c r="A89" s="28">
        <f>+A88+0.1</f>
        <v>1.1000000000000001</v>
      </c>
      <c r="B89" s="29" t="s">
        <v>15</v>
      </c>
      <c r="C89" s="30">
        <v>1</v>
      </c>
      <c r="D89" s="31" t="s">
        <v>16</v>
      </c>
      <c r="E89" s="30"/>
      <c r="F89" s="32">
        <f>ROUND(E89*C89,2)</f>
        <v>0</v>
      </c>
      <c r="G89" s="27"/>
    </row>
    <row r="90" spans="1:7" ht="15.75" x14ac:dyDescent="0.25">
      <c r="A90" s="28">
        <f t="shared" ref="A90:A92" si="13">+A89+0.1</f>
        <v>1.2000000000000002</v>
      </c>
      <c r="B90" s="33" t="s">
        <v>17</v>
      </c>
      <c r="C90" s="30">
        <v>1</v>
      </c>
      <c r="D90" s="31" t="s">
        <v>16</v>
      </c>
      <c r="E90" s="34"/>
      <c r="F90" s="32">
        <f t="shared" ref="F90:F92" si="14">ROUND(E90*C90,2)</f>
        <v>0</v>
      </c>
      <c r="G90" s="27"/>
    </row>
    <row r="91" spans="1:7" ht="15.75" x14ac:dyDescent="0.25">
      <c r="A91" s="28">
        <f t="shared" si="13"/>
        <v>1.3000000000000003</v>
      </c>
      <c r="B91" s="33" t="s">
        <v>18</v>
      </c>
      <c r="C91" s="30">
        <f>55.4*63.3*0.02</f>
        <v>70.136399999999995</v>
      </c>
      <c r="D91" s="31" t="s">
        <v>19</v>
      </c>
      <c r="E91" s="34"/>
      <c r="F91" s="32">
        <f t="shared" si="14"/>
        <v>0</v>
      </c>
      <c r="G91" s="27"/>
    </row>
    <row r="92" spans="1:7" ht="15.75" x14ac:dyDescent="0.25">
      <c r="A92" s="28">
        <f t="shared" si="13"/>
        <v>1.4000000000000004</v>
      </c>
      <c r="B92" s="33" t="s">
        <v>20</v>
      </c>
      <c r="C92" s="30">
        <v>1</v>
      </c>
      <c r="D92" s="31" t="s">
        <v>16</v>
      </c>
      <c r="E92" s="34"/>
      <c r="F92" s="32">
        <f t="shared" si="14"/>
        <v>0</v>
      </c>
      <c r="G92" s="27">
        <f>SUM(F89:F92)</f>
        <v>0</v>
      </c>
    </row>
    <row r="93" spans="1:7" ht="15.75" x14ac:dyDescent="0.25">
      <c r="A93" s="28"/>
      <c r="B93" s="33"/>
      <c r="C93" s="30"/>
      <c r="D93" s="31"/>
      <c r="E93" s="34"/>
      <c r="F93" s="32"/>
      <c r="G93" s="27"/>
    </row>
    <row r="94" spans="1:7" ht="15.75" x14ac:dyDescent="0.25">
      <c r="A94" s="35">
        <v>2</v>
      </c>
      <c r="B94" s="36" t="s">
        <v>21</v>
      </c>
      <c r="C94" s="22"/>
      <c r="D94" s="22"/>
      <c r="E94" s="37"/>
      <c r="F94" s="22"/>
      <c r="G94" s="23"/>
    </row>
    <row r="95" spans="1:7" ht="15.75" x14ac:dyDescent="0.25">
      <c r="A95" s="38">
        <f>A94+0.1</f>
        <v>2.1</v>
      </c>
      <c r="B95" s="39" t="s">
        <v>22</v>
      </c>
      <c r="C95" s="40">
        <f>55.4*2+63.3*2</f>
        <v>237.39999999999998</v>
      </c>
      <c r="D95" s="40" t="s">
        <v>23</v>
      </c>
      <c r="E95" s="41"/>
      <c r="F95" s="32">
        <f>+C95*E95</f>
        <v>0</v>
      </c>
      <c r="G95" s="23"/>
    </row>
    <row r="96" spans="1:7" ht="15.75" x14ac:dyDescent="0.25">
      <c r="A96" s="38">
        <f>A95+0.1</f>
        <v>2.2000000000000002</v>
      </c>
      <c r="B96" s="39" t="s">
        <v>24</v>
      </c>
      <c r="C96" s="22"/>
      <c r="D96" s="22"/>
      <c r="E96" s="41"/>
      <c r="F96" s="22"/>
      <c r="G96" s="23"/>
    </row>
    <row r="97" spans="1:7" ht="30" x14ac:dyDescent="0.25">
      <c r="A97" s="38" t="s">
        <v>25</v>
      </c>
      <c r="B97" s="39" t="s">
        <v>26</v>
      </c>
      <c r="C97" s="32">
        <f>C95*0.45*1</f>
        <v>106.83</v>
      </c>
      <c r="D97" s="42" t="s">
        <v>19</v>
      </c>
      <c r="E97" s="30"/>
      <c r="F97" s="32">
        <f>+C97*E97</f>
        <v>0</v>
      </c>
      <c r="G97" s="43"/>
    </row>
    <row r="98" spans="1:7" ht="15.75" x14ac:dyDescent="0.25">
      <c r="A98" s="38" t="s">
        <v>27</v>
      </c>
      <c r="B98" s="39" t="s">
        <v>28</v>
      </c>
      <c r="C98" s="32">
        <f>C95*0.3*0.75</f>
        <v>53.414999999999992</v>
      </c>
      <c r="D98" s="42" t="s">
        <v>19</v>
      </c>
      <c r="E98" s="30"/>
      <c r="F98" s="32">
        <f>+C98*E98</f>
        <v>0</v>
      </c>
      <c r="G98" s="43"/>
    </row>
    <row r="99" spans="1:7" ht="15.75" x14ac:dyDescent="0.25">
      <c r="A99" s="38" t="s">
        <v>29</v>
      </c>
      <c r="B99" s="44" t="s">
        <v>30</v>
      </c>
      <c r="C99" s="32">
        <f>(C97-C98)*1.3</f>
        <v>69.43950000000001</v>
      </c>
      <c r="D99" s="42" t="s">
        <v>19</v>
      </c>
      <c r="E99" s="30"/>
      <c r="F99" s="45">
        <f>+C99*E99</f>
        <v>0</v>
      </c>
      <c r="G99" s="43"/>
    </row>
    <row r="100" spans="1:7" ht="15.75" x14ac:dyDescent="0.25">
      <c r="A100" s="38">
        <f>A96+0.1</f>
        <v>2.3000000000000003</v>
      </c>
      <c r="B100" s="46" t="s">
        <v>31</v>
      </c>
      <c r="C100" s="32"/>
      <c r="D100" s="47"/>
      <c r="E100" s="48"/>
      <c r="F100" s="49"/>
      <c r="G100" s="50"/>
    </row>
    <row r="101" spans="1:7" ht="15.75" x14ac:dyDescent="0.25">
      <c r="A101" s="38" t="s">
        <v>32</v>
      </c>
      <c r="B101" s="46" t="s">
        <v>33</v>
      </c>
      <c r="C101" s="32">
        <f>C95*0.45*0.25</f>
        <v>26.7075</v>
      </c>
      <c r="D101" s="42" t="s">
        <v>19</v>
      </c>
      <c r="E101" s="48"/>
      <c r="F101" s="45">
        <f t="shared" ref="F101:F108" si="15">+C101*E101</f>
        <v>0</v>
      </c>
      <c r="G101" s="50"/>
    </row>
    <row r="102" spans="1:7" ht="15.75" x14ac:dyDescent="0.25">
      <c r="A102" s="38" t="s">
        <v>34</v>
      </c>
      <c r="B102" s="46" t="s">
        <v>35</v>
      </c>
      <c r="C102" s="32">
        <f>0.9*0.9*0.25*24</f>
        <v>4.8600000000000003</v>
      </c>
      <c r="D102" s="42" t="s">
        <v>19</v>
      </c>
      <c r="E102" s="48"/>
      <c r="F102" s="45">
        <f t="shared" si="15"/>
        <v>0</v>
      </c>
      <c r="G102" s="50"/>
    </row>
    <row r="103" spans="1:7" ht="15.75" x14ac:dyDescent="0.25">
      <c r="A103" s="38" t="s">
        <v>36</v>
      </c>
      <c r="B103" s="46" t="s">
        <v>37</v>
      </c>
      <c r="C103" s="32">
        <f>0.2*0.15*2.35*24</f>
        <v>1.6919999999999997</v>
      </c>
      <c r="D103" s="42" t="s">
        <v>19</v>
      </c>
      <c r="E103" s="48"/>
      <c r="F103" s="45">
        <f t="shared" si="15"/>
        <v>0</v>
      </c>
      <c r="G103" s="50"/>
    </row>
    <row r="104" spans="1:7" ht="15.75" x14ac:dyDescent="0.25">
      <c r="A104" s="38" t="s">
        <v>38</v>
      </c>
      <c r="B104" s="46" t="s">
        <v>39</v>
      </c>
      <c r="C104" s="32">
        <f>(C95-4)*0.15*0.2</f>
        <v>7.0019999999999998</v>
      </c>
      <c r="D104" s="42" t="s">
        <v>19</v>
      </c>
      <c r="E104" s="48"/>
      <c r="F104" s="45">
        <f t="shared" si="15"/>
        <v>0</v>
      </c>
      <c r="G104" s="50"/>
    </row>
    <row r="105" spans="1:7" ht="15.75" x14ac:dyDescent="0.25">
      <c r="A105" s="38">
        <f>A100+0.1</f>
        <v>2.4000000000000004</v>
      </c>
      <c r="B105" s="46" t="s">
        <v>40</v>
      </c>
      <c r="C105" s="32">
        <f>(2.35*(C95-4))</f>
        <v>548.49</v>
      </c>
      <c r="D105" s="47" t="s">
        <v>41</v>
      </c>
      <c r="E105" s="48"/>
      <c r="F105" s="45">
        <f t="shared" si="15"/>
        <v>0</v>
      </c>
      <c r="G105" s="50"/>
    </row>
    <row r="106" spans="1:7" ht="15.75" x14ac:dyDescent="0.25">
      <c r="A106" s="38">
        <f>A105+0.1</f>
        <v>2.5000000000000004</v>
      </c>
      <c r="B106" s="46" t="s">
        <v>42</v>
      </c>
      <c r="C106" s="32">
        <f>(1.6*(C95-4))*2</f>
        <v>746.88</v>
      </c>
      <c r="D106" s="47" t="s">
        <v>41</v>
      </c>
      <c r="E106" s="48"/>
      <c r="F106" s="45">
        <f t="shared" si="15"/>
        <v>0</v>
      </c>
      <c r="G106" s="50"/>
    </row>
    <row r="107" spans="1:7" ht="30" x14ac:dyDescent="0.25">
      <c r="A107" s="38">
        <f t="shared" ref="A107:A108" si="16">A106+0.1</f>
        <v>2.6000000000000005</v>
      </c>
      <c r="B107" s="46" t="s">
        <v>43</v>
      </c>
      <c r="C107" s="32">
        <v>1</v>
      </c>
      <c r="D107" s="47" t="s">
        <v>44</v>
      </c>
      <c r="E107" s="48"/>
      <c r="F107" s="45">
        <f t="shared" si="15"/>
        <v>0</v>
      </c>
      <c r="G107" s="50"/>
    </row>
    <row r="108" spans="1:7" ht="15.75" x14ac:dyDescent="0.25">
      <c r="A108" s="38">
        <f t="shared" si="16"/>
        <v>2.7000000000000006</v>
      </c>
      <c r="B108" s="46" t="s">
        <v>45</v>
      </c>
      <c r="C108" s="32">
        <f>C95</f>
        <v>237.39999999999998</v>
      </c>
      <c r="D108" s="47" t="s">
        <v>23</v>
      </c>
      <c r="E108" s="48"/>
      <c r="F108" s="45">
        <f t="shared" si="15"/>
        <v>0</v>
      </c>
      <c r="G108" s="50">
        <f>SUM(F95:F108)</f>
        <v>0</v>
      </c>
    </row>
    <row r="109" spans="1:7" ht="15.75" x14ac:dyDescent="0.25">
      <c r="A109" s="51"/>
      <c r="B109" s="52"/>
      <c r="C109" s="32"/>
      <c r="D109" s="47"/>
      <c r="E109" s="48"/>
      <c r="F109" s="45"/>
      <c r="G109" s="50"/>
    </row>
    <row r="110" spans="1:7" ht="15.75" x14ac:dyDescent="0.25">
      <c r="A110" s="35">
        <v>3</v>
      </c>
      <c r="B110" s="52" t="s">
        <v>46</v>
      </c>
      <c r="C110" s="53"/>
      <c r="D110" s="47"/>
      <c r="E110" s="48"/>
      <c r="F110" s="49"/>
      <c r="G110" s="50"/>
    </row>
    <row r="111" spans="1:7" ht="30" x14ac:dyDescent="0.25">
      <c r="A111" s="38">
        <f>A110+0.1</f>
        <v>3.1</v>
      </c>
      <c r="B111" s="46" t="s">
        <v>47</v>
      </c>
      <c r="C111" s="53">
        <v>1</v>
      </c>
      <c r="D111" s="47" t="s">
        <v>16</v>
      </c>
      <c r="E111" s="48"/>
      <c r="F111" s="45">
        <f t="shared" ref="F111:F114" si="17">+C111*E111</f>
        <v>0</v>
      </c>
      <c r="G111" s="50"/>
    </row>
    <row r="112" spans="1:7" ht="15.75" x14ac:dyDescent="0.25">
      <c r="A112" s="38">
        <f t="shared" ref="A112:A114" si="18">A111+0.1</f>
        <v>3.2</v>
      </c>
      <c r="B112" s="46" t="s">
        <v>48</v>
      </c>
      <c r="C112" s="53">
        <v>637.26</v>
      </c>
      <c r="D112" s="47" t="s">
        <v>49</v>
      </c>
      <c r="E112" s="48"/>
      <c r="F112" s="45">
        <f t="shared" si="17"/>
        <v>0</v>
      </c>
      <c r="G112" s="50"/>
    </row>
    <row r="113" spans="1:7" ht="15.75" x14ac:dyDescent="0.25">
      <c r="A113" s="38">
        <f t="shared" si="18"/>
        <v>3.3000000000000003</v>
      </c>
      <c r="B113" s="46" t="s">
        <v>50</v>
      </c>
      <c r="C113" s="53">
        <v>637.26</v>
      </c>
      <c r="D113" s="47" t="s">
        <v>49</v>
      </c>
      <c r="E113" s="48"/>
      <c r="F113" s="45">
        <f t="shared" si="17"/>
        <v>0</v>
      </c>
      <c r="G113" s="50"/>
    </row>
    <row r="114" spans="1:7" ht="15.75" x14ac:dyDescent="0.25">
      <c r="A114" s="38">
        <f t="shared" si="18"/>
        <v>3.4000000000000004</v>
      </c>
      <c r="B114" s="46" t="s">
        <v>51</v>
      </c>
      <c r="C114" s="53">
        <v>1</v>
      </c>
      <c r="D114" s="47" t="s">
        <v>52</v>
      </c>
      <c r="E114" s="48"/>
      <c r="F114" s="45">
        <f t="shared" si="17"/>
        <v>0</v>
      </c>
      <c r="G114" s="50">
        <f>SUM(F111:F114)</f>
        <v>0</v>
      </c>
    </row>
    <row r="115" spans="1:7" ht="15.75" x14ac:dyDescent="0.25">
      <c r="A115" s="51"/>
      <c r="B115" s="94"/>
      <c r="C115" s="32"/>
      <c r="D115" s="42"/>
      <c r="E115" s="30"/>
      <c r="F115" s="45"/>
      <c r="G115" s="43"/>
    </row>
    <row r="116" spans="1:7" ht="15.75" x14ac:dyDescent="0.25">
      <c r="A116" s="61">
        <v>4</v>
      </c>
      <c r="B116" s="52" t="s">
        <v>53</v>
      </c>
      <c r="C116" s="62"/>
      <c r="D116" s="47"/>
      <c r="E116" s="63"/>
      <c r="F116" s="62"/>
      <c r="G116" s="64"/>
    </row>
    <row r="117" spans="1:7" ht="15.75" x14ac:dyDescent="0.25">
      <c r="A117" s="65">
        <f>A116+0.1</f>
        <v>4.0999999999999996</v>
      </c>
      <c r="B117" s="66" t="s">
        <v>54</v>
      </c>
      <c r="C117" s="53">
        <v>1</v>
      </c>
      <c r="D117" s="47" t="s">
        <v>52</v>
      </c>
      <c r="E117" s="48"/>
      <c r="F117" s="45">
        <f t="shared" ref="F117" si="19">+C117*E117</f>
        <v>0</v>
      </c>
      <c r="G117" s="67"/>
    </row>
    <row r="118" spans="1:7" ht="15.75" x14ac:dyDescent="0.25">
      <c r="A118" s="65">
        <f>A117+0.1</f>
        <v>4.1999999999999993</v>
      </c>
      <c r="B118" s="66" t="s">
        <v>55</v>
      </c>
      <c r="C118" s="68">
        <f>1.8*(1.3+1.95+1.8)</f>
        <v>9.09</v>
      </c>
      <c r="D118" s="47" t="s">
        <v>49</v>
      </c>
      <c r="E118" s="69"/>
      <c r="F118" s="32">
        <f>+C118*E118</f>
        <v>0</v>
      </c>
      <c r="G118" s="67"/>
    </row>
    <row r="119" spans="1:7" ht="15.75" x14ac:dyDescent="0.25">
      <c r="A119" s="65">
        <f t="shared" ref="A119:A125" si="20">A118+0.1</f>
        <v>4.2999999999999989</v>
      </c>
      <c r="B119" s="66" t="s">
        <v>56</v>
      </c>
      <c r="C119" s="68">
        <f>(1.3*1.95)</f>
        <v>2.5350000000000001</v>
      </c>
      <c r="D119" s="47" t="s">
        <v>49</v>
      </c>
      <c r="E119" s="69"/>
      <c r="F119" s="32">
        <f>+C119*E119</f>
        <v>0</v>
      </c>
      <c r="G119" s="67"/>
    </row>
    <row r="120" spans="1:7" ht="15.75" x14ac:dyDescent="0.25">
      <c r="A120" s="65">
        <f t="shared" si="20"/>
        <v>4.3999999999999986</v>
      </c>
      <c r="B120" s="70" t="s">
        <v>57</v>
      </c>
      <c r="C120" s="62">
        <v>4</v>
      </c>
      <c r="D120" s="71" t="s">
        <v>58</v>
      </c>
      <c r="E120" s="63"/>
      <c r="F120" s="32">
        <f t="shared" ref="F120:F126" si="21">+C120*E120</f>
        <v>0</v>
      </c>
      <c r="G120" s="64"/>
    </row>
    <row r="121" spans="1:7" ht="15.75" x14ac:dyDescent="0.25">
      <c r="A121" s="65">
        <f t="shared" si="20"/>
        <v>4.4999999999999982</v>
      </c>
      <c r="B121" s="70" t="s">
        <v>59</v>
      </c>
      <c r="C121" s="62">
        <f>(1.2*1.2*3+0.6*0.6)*10.76</f>
        <v>50.356800000000007</v>
      </c>
      <c r="D121" s="47" t="s">
        <v>60</v>
      </c>
      <c r="E121" s="63"/>
      <c r="F121" s="32">
        <f t="shared" si="21"/>
        <v>0</v>
      </c>
      <c r="G121" s="64"/>
    </row>
    <row r="122" spans="1:7" ht="15.75" x14ac:dyDescent="0.25">
      <c r="A122" s="65">
        <f t="shared" si="20"/>
        <v>4.5999999999999979</v>
      </c>
      <c r="B122" s="70" t="s">
        <v>61</v>
      </c>
      <c r="C122" s="53">
        <v>1</v>
      </c>
      <c r="D122" s="71" t="s">
        <v>58</v>
      </c>
      <c r="E122" s="63"/>
      <c r="F122" s="32">
        <f t="shared" si="21"/>
        <v>0</v>
      </c>
      <c r="G122" s="64"/>
    </row>
    <row r="123" spans="1:7" ht="15.75" x14ac:dyDescent="0.25">
      <c r="A123" s="65">
        <f t="shared" si="20"/>
        <v>4.6999999999999975</v>
      </c>
      <c r="B123" s="70" t="s">
        <v>62</v>
      </c>
      <c r="C123" s="53">
        <v>1</v>
      </c>
      <c r="D123" s="71" t="s">
        <v>58</v>
      </c>
      <c r="E123" s="63"/>
      <c r="F123" s="32">
        <f t="shared" si="21"/>
        <v>0</v>
      </c>
      <c r="G123" s="64"/>
    </row>
    <row r="124" spans="1:7" ht="15.75" x14ac:dyDescent="0.25">
      <c r="A124" s="65">
        <f t="shared" si="20"/>
        <v>4.7999999999999972</v>
      </c>
      <c r="B124" s="70" t="s">
        <v>63</v>
      </c>
      <c r="C124" s="62">
        <f>25*0.7</f>
        <v>17.5</v>
      </c>
      <c r="D124" s="71" t="s">
        <v>41</v>
      </c>
      <c r="E124" s="63"/>
      <c r="F124" s="32">
        <f t="shared" si="21"/>
        <v>0</v>
      </c>
      <c r="G124" s="64"/>
    </row>
    <row r="125" spans="1:7" ht="15.75" x14ac:dyDescent="0.25">
      <c r="A125" s="65">
        <f t="shared" si="20"/>
        <v>4.8999999999999968</v>
      </c>
      <c r="B125" s="70" t="s">
        <v>64</v>
      </c>
      <c r="C125" s="62">
        <v>33.82</v>
      </c>
      <c r="D125" s="71" t="s">
        <v>41</v>
      </c>
      <c r="E125" s="63"/>
      <c r="F125" s="32">
        <f t="shared" si="21"/>
        <v>0</v>
      </c>
      <c r="G125" s="64"/>
    </row>
    <row r="126" spans="1:7" ht="15.75" x14ac:dyDescent="0.25">
      <c r="A126" s="72">
        <f>A117</f>
        <v>4.0999999999999996</v>
      </c>
      <c r="B126" s="70" t="s">
        <v>65</v>
      </c>
      <c r="C126" s="62">
        <v>33.82</v>
      </c>
      <c r="D126" s="71" t="s">
        <v>41</v>
      </c>
      <c r="E126" s="63"/>
      <c r="F126" s="32">
        <f t="shared" si="21"/>
        <v>0</v>
      </c>
      <c r="G126" s="64">
        <f>SUM(F117:F126)</f>
        <v>0</v>
      </c>
    </row>
    <row r="127" spans="1:7" ht="15.75" x14ac:dyDescent="0.25">
      <c r="A127" s="65"/>
      <c r="B127" s="70"/>
      <c r="C127" s="62"/>
      <c r="D127" s="71"/>
      <c r="E127" s="63"/>
      <c r="F127" s="62"/>
      <c r="G127" s="64"/>
    </row>
    <row r="128" spans="1:7" ht="31.5" x14ac:dyDescent="0.25">
      <c r="A128" s="35">
        <v>5</v>
      </c>
      <c r="B128" s="73" t="s">
        <v>66</v>
      </c>
      <c r="C128" s="40"/>
      <c r="D128" s="22"/>
      <c r="E128" s="41"/>
      <c r="F128" s="22"/>
      <c r="G128" s="23"/>
    </row>
    <row r="129" spans="1:7" ht="15.75" x14ac:dyDescent="0.25">
      <c r="A129" s="38">
        <f>A128+0.1</f>
        <v>5.0999999999999996</v>
      </c>
      <c r="B129" s="44" t="s">
        <v>22</v>
      </c>
      <c r="C129" s="32">
        <v>1</v>
      </c>
      <c r="D129" s="42" t="s">
        <v>16</v>
      </c>
      <c r="E129" s="74"/>
      <c r="F129" s="32">
        <f>+C129*E129</f>
        <v>0</v>
      </c>
      <c r="G129" s="43"/>
    </row>
    <row r="130" spans="1:7" x14ac:dyDescent="0.25">
      <c r="A130" s="38">
        <f t="shared" ref="A130:A133" si="22">A129+0.1</f>
        <v>5.1999999999999993</v>
      </c>
      <c r="B130" s="44" t="s">
        <v>67</v>
      </c>
      <c r="C130" s="32">
        <f>0.8*0.45*(1.6*3+2.85*2)</f>
        <v>3.7800000000000002</v>
      </c>
      <c r="D130" s="42" t="s">
        <v>19</v>
      </c>
      <c r="E130" s="74"/>
      <c r="F130" s="32">
        <f>+C130*E130</f>
        <v>0</v>
      </c>
      <c r="G130" s="75"/>
    </row>
    <row r="131" spans="1:7" ht="15.75" x14ac:dyDescent="0.25">
      <c r="A131" s="38">
        <f t="shared" si="22"/>
        <v>5.2999999999999989</v>
      </c>
      <c r="B131" s="44" t="s">
        <v>28</v>
      </c>
      <c r="C131" s="32">
        <f>0.6*0.3*(1.6*3+2.85*2)</f>
        <v>1.89</v>
      </c>
      <c r="D131" s="42" t="s">
        <v>19</v>
      </c>
      <c r="E131" s="74"/>
      <c r="F131" s="32">
        <f>+C131*E131</f>
        <v>0</v>
      </c>
      <c r="G131" s="43"/>
    </row>
    <row r="132" spans="1:7" ht="15.75" x14ac:dyDescent="0.25">
      <c r="A132" s="38">
        <f t="shared" si="22"/>
        <v>5.3999999999999986</v>
      </c>
      <c r="B132" s="39" t="s">
        <v>68</v>
      </c>
      <c r="C132" s="32">
        <f>(C130-C131)*1.2</f>
        <v>2.2680000000000002</v>
      </c>
      <c r="D132" s="42" t="s">
        <v>19</v>
      </c>
      <c r="E132" s="74"/>
      <c r="F132" s="32">
        <f>+C132*E132</f>
        <v>0</v>
      </c>
      <c r="G132" s="43"/>
    </row>
    <row r="133" spans="1:7" ht="15.75" x14ac:dyDescent="0.25">
      <c r="A133" s="51">
        <f t="shared" si="22"/>
        <v>5.4999999999999982</v>
      </c>
      <c r="B133" s="36" t="s">
        <v>31</v>
      </c>
      <c r="C133" s="32"/>
      <c r="D133" s="42"/>
      <c r="E133" s="74"/>
      <c r="F133" s="32"/>
      <c r="G133" s="75"/>
    </row>
    <row r="134" spans="1:7" x14ac:dyDescent="0.25">
      <c r="A134" s="76" t="s">
        <v>69</v>
      </c>
      <c r="B134" s="44" t="s">
        <v>70</v>
      </c>
      <c r="C134" s="45">
        <f>(1.6*3+2.85*2)*0.45*0.2</f>
        <v>0.94500000000000017</v>
      </c>
      <c r="D134" s="42" t="s">
        <v>19</v>
      </c>
      <c r="E134" s="30"/>
      <c r="F134" s="45">
        <f>+C134*E134</f>
        <v>0</v>
      </c>
      <c r="G134" s="77"/>
    </row>
    <row r="135" spans="1:7" ht="15.75" x14ac:dyDescent="0.25">
      <c r="A135" s="76" t="s">
        <v>71</v>
      </c>
      <c r="B135" s="44" t="s">
        <v>72</v>
      </c>
      <c r="C135" s="32">
        <f>1.6*2.85*0.1</f>
        <v>0.45600000000000007</v>
      </c>
      <c r="D135" s="42" t="s">
        <v>19</v>
      </c>
      <c r="E135" s="74"/>
      <c r="F135" s="45">
        <f>+C135*E135</f>
        <v>0</v>
      </c>
      <c r="G135" s="43"/>
    </row>
    <row r="136" spans="1:7" x14ac:dyDescent="0.25">
      <c r="A136" s="76" t="s">
        <v>73</v>
      </c>
      <c r="B136" s="44" t="s">
        <v>74</v>
      </c>
      <c r="C136" s="78">
        <f>0.15*0.2*(2.85*2+1.6*3)*2</f>
        <v>0.63</v>
      </c>
      <c r="D136" s="42" t="s">
        <v>19</v>
      </c>
      <c r="E136" s="74"/>
      <c r="F136" s="45">
        <f>+C136*E136</f>
        <v>0</v>
      </c>
      <c r="G136" s="75"/>
    </row>
    <row r="137" spans="1:7" ht="15.75" x14ac:dyDescent="0.25">
      <c r="A137" s="76" t="s">
        <v>75</v>
      </c>
      <c r="B137" s="44" t="s">
        <v>76</v>
      </c>
      <c r="C137" s="32">
        <f>2.5*3.45*0.1</f>
        <v>0.86250000000000004</v>
      </c>
      <c r="D137" s="42" t="s">
        <v>19</v>
      </c>
      <c r="E137" s="74"/>
      <c r="F137" s="45">
        <f>+C137*E137</f>
        <v>0</v>
      </c>
      <c r="G137" s="43"/>
    </row>
    <row r="138" spans="1:7" ht="15.75" x14ac:dyDescent="0.25">
      <c r="A138" s="51">
        <f>A133+0.1</f>
        <v>5.5999999999999979</v>
      </c>
      <c r="B138" s="36" t="s">
        <v>77</v>
      </c>
      <c r="C138" s="32"/>
      <c r="D138" s="42"/>
      <c r="E138" s="74"/>
      <c r="F138" s="32"/>
      <c r="G138" s="43"/>
    </row>
    <row r="139" spans="1:7" ht="15.75" x14ac:dyDescent="0.25">
      <c r="A139" s="76" t="s">
        <v>78</v>
      </c>
      <c r="B139" s="39" t="s">
        <v>79</v>
      </c>
      <c r="C139" s="32">
        <f>2.1*(1.6*3+2.85*2)-(2.1*0.8+1.1*1.2)</f>
        <v>19.05</v>
      </c>
      <c r="D139" s="42" t="s">
        <v>41</v>
      </c>
      <c r="E139" s="74"/>
      <c r="F139" s="45">
        <f t="shared" ref="F139:F147" si="23">+C139*E139</f>
        <v>0</v>
      </c>
      <c r="G139" s="43"/>
    </row>
    <row r="140" spans="1:7" ht="15.75" x14ac:dyDescent="0.25">
      <c r="A140" s="76" t="s">
        <v>80</v>
      </c>
      <c r="B140" s="39" t="s">
        <v>81</v>
      </c>
      <c r="C140" s="32">
        <f>(2.1*0.8+1.1*1.2)</f>
        <v>3</v>
      </c>
      <c r="D140" s="42" t="s">
        <v>41</v>
      </c>
      <c r="E140" s="74"/>
      <c r="F140" s="45">
        <f t="shared" si="23"/>
        <v>0</v>
      </c>
      <c r="G140" s="43"/>
    </row>
    <row r="141" spans="1:7" x14ac:dyDescent="0.25">
      <c r="A141" s="38">
        <f>A138+0.1</f>
        <v>5.6999999999999975</v>
      </c>
      <c r="B141" s="44" t="s">
        <v>82</v>
      </c>
      <c r="C141" s="32">
        <f>C139*2+C137/0.1+10</f>
        <v>56.725000000000001</v>
      </c>
      <c r="D141" s="42" t="s">
        <v>41</v>
      </c>
      <c r="E141" s="74"/>
      <c r="F141" s="32">
        <f t="shared" si="23"/>
        <v>0</v>
      </c>
      <c r="G141" s="75"/>
    </row>
    <row r="142" spans="1:7" ht="15.75" x14ac:dyDescent="0.25">
      <c r="A142" s="38">
        <f>A141+0.1</f>
        <v>5.7999999999999972</v>
      </c>
      <c r="B142" s="44" t="s">
        <v>83</v>
      </c>
      <c r="C142" s="32">
        <f>C137/0.1</f>
        <v>8.625</v>
      </c>
      <c r="D142" s="42" t="s">
        <v>41</v>
      </c>
      <c r="E142" s="74"/>
      <c r="F142" s="32">
        <f t="shared" si="23"/>
        <v>0</v>
      </c>
      <c r="G142" s="43"/>
    </row>
    <row r="143" spans="1:7" ht="15.75" x14ac:dyDescent="0.25">
      <c r="A143" s="38">
        <f>A142+0.1</f>
        <v>5.8999999999999968</v>
      </c>
      <c r="B143" s="44" t="s">
        <v>84</v>
      </c>
      <c r="C143" s="32">
        <f>2.1*4*5+0.9*2*2+1.2*4+0.8*4</f>
        <v>53.6</v>
      </c>
      <c r="D143" s="42" t="s">
        <v>23</v>
      </c>
      <c r="E143" s="74"/>
      <c r="F143" s="32">
        <f t="shared" si="23"/>
        <v>0</v>
      </c>
      <c r="G143" s="43"/>
    </row>
    <row r="144" spans="1:7" ht="15.75" x14ac:dyDescent="0.25">
      <c r="A144" s="79">
        <f>A143-0.8</f>
        <v>5.099999999999997</v>
      </c>
      <c r="B144" s="39" t="s">
        <v>64</v>
      </c>
      <c r="C144" s="32">
        <f>3.45*2.5</f>
        <v>8.625</v>
      </c>
      <c r="D144" s="42" t="s">
        <v>41</v>
      </c>
      <c r="E144" s="74"/>
      <c r="F144" s="32">
        <f t="shared" si="23"/>
        <v>0</v>
      </c>
      <c r="G144" s="43"/>
    </row>
    <row r="145" spans="1:7" ht="15.75" x14ac:dyDescent="0.25">
      <c r="A145" s="79">
        <f>A144+0.01</f>
        <v>5.1099999999999968</v>
      </c>
      <c r="B145" s="39" t="s">
        <v>85</v>
      </c>
      <c r="C145" s="32">
        <f>C141</f>
        <v>56.725000000000001</v>
      </c>
      <c r="D145" s="42" t="s">
        <v>41</v>
      </c>
      <c r="E145" s="74"/>
      <c r="F145" s="32">
        <f t="shared" si="23"/>
        <v>0</v>
      </c>
      <c r="G145" s="43"/>
    </row>
    <row r="146" spans="1:7" ht="15.75" x14ac:dyDescent="0.25">
      <c r="A146" s="79">
        <f>A145+0.01</f>
        <v>5.1199999999999966</v>
      </c>
      <c r="B146" s="44" t="s">
        <v>86</v>
      </c>
      <c r="C146" s="32">
        <v>2</v>
      </c>
      <c r="D146" s="42" t="s">
        <v>44</v>
      </c>
      <c r="E146" s="74"/>
      <c r="F146" s="32">
        <f t="shared" si="23"/>
        <v>0</v>
      </c>
      <c r="G146" s="43"/>
    </row>
    <row r="147" spans="1:7" ht="15.75" x14ac:dyDescent="0.25">
      <c r="A147" s="79">
        <f>A146+0.01</f>
        <v>5.1299999999999963</v>
      </c>
      <c r="B147" s="39" t="s">
        <v>87</v>
      </c>
      <c r="C147" s="32">
        <v>1</v>
      </c>
      <c r="D147" s="42" t="s">
        <v>16</v>
      </c>
      <c r="E147" s="74"/>
      <c r="F147" s="32">
        <f t="shared" si="23"/>
        <v>0</v>
      </c>
      <c r="G147" s="43">
        <f>SUM(F129:F147)</f>
        <v>0</v>
      </c>
    </row>
    <row r="148" spans="1:7" ht="15.75" x14ac:dyDescent="0.25">
      <c r="A148" s="79"/>
      <c r="B148" s="39"/>
      <c r="C148" s="32"/>
      <c r="D148" s="95"/>
      <c r="E148" s="74"/>
      <c r="F148" s="32"/>
      <c r="G148" s="96"/>
    </row>
    <row r="149" spans="1:7" ht="15.75" x14ac:dyDescent="0.25">
      <c r="A149" s="35">
        <v>7</v>
      </c>
      <c r="B149" s="36" t="s">
        <v>93</v>
      </c>
      <c r="C149" s="81">
        <v>1</v>
      </c>
      <c r="D149" s="85" t="s">
        <v>16</v>
      </c>
      <c r="E149" s="83"/>
      <c r="F149" s="83">
        <f>E149*C149</f>
        <v>0</v>
      </c>
      <c r="G149" s="86">
        <f>SUM(F149)</f>
        <v>0</v>
      </c>
    </row>
    <row r="150" spans="1:7" ht="15.75" x14ac:dyDescent="0.25">
      <c r="A150" s="38"/>
      <c r="B150" s="39"/>
      <c r="C150" s="81"/>
      <c r="D150" s="85"/>
      <c r="E150" s="83"/>
      <c r="F150" s="83"/>
      <c r="G150" s="86"/>
    </row>
    <row r="151" spans="1:7" ht="15.75" x14ac:dyDescent="0.25">
      <c r="A151" s="35">
        <v>8</v>
      </c>
      <c r="B151" s="36" t="s">
        <v>94</v>
      </c>
      <c r="C151" s="81">
        <v>1</v>
      </c>
      <c r="D151" s="85" t="s">
        <v>16</v>
      </c>
      <c r="E151" s="83"/>
      <c r="F151" s="83">
        <f>E151*C151</f>
        <v>0</v>
      </c>
      <c r="G151" s="86">
        <f>SUM(F151)</f>
        <v>0</v>
      </c>
    </row>
    <row r="152" spans="1:7" ht="16.5" thickBot="1" x14ac:dyDescent="0.3">
      <c r="A152" s="38"/>
      <c r="B152" s="39"/>
      <c r="C152" s="81"/>
      <c r="D152" s="85"/>
      <c r="E152" s="83"/>
      <c r="F152" s="83"/>
      <c r="G152" s="86"/>
    </row>
    <row r="153" spans="1:7" ht="17.25" thickTop="1" thickBot="1" x14ac:dyDescent="0.3">
      <c r="A153" s="88"/>
      <c r="B153" s="89" t="s">
        <v>98</v>
      </c>
      <c r="C153" s="90"/>
      <c r="D153" s="91"/>
      <c r="E153" s="90"/>
      <c r="F153" s="92"/>
      <c r="G153" s="93">
        <f>SUM(G91:G151)</f>
        <v>0</v>
      </c>
    </row>
    <row r="154" spans="1:7" ht="16.5" thickTop="1" x14ac:dyDescent="0.25">
      <c r="A154" s="16"/>
      <c r="B154" s="17"/>
      <c r="C154" s="18"/>
      <c r="D154" s="18"/>
      <c r="E154" s="18"/>
      <c r="F154" s="18"/>
      <c r="G154" s="19"/>
    </row>
    <row r="155" spans="1:7" ht="31.5" x14ac:dyDescent="0.25">
      <c r="A155" s="20" t="s">
        <v>99</v>
      </c>
      <c r="B155" s="21" t="s">
        <v>100</v>
      </c>
      <c r="C155" s="22"/>
      <c r="D155" s="22"/>
      <c r="E155" s="22"/>
      <c r="F155" s="22"/>
      <c r="G155" s="23"/>
    </row>
    <row r="156" spans="1:7" ht="15.75" x14ac:dyDescent="0.25">
      <c r="A156" s="20"/>
      <c r="B156" s="21"/>
      <c r="C156" s="22"/>
      <c r="D156" s="22"/>
      <c r="E156" s="22"/>
      <c r="F156" s="22"/>
      <c r="G156" s="23"/>
    </row>
    <row r="157" spans="1:7" ht="15.75" x14ac:dyDescent="0.25">
      <c r="A157" s="24">
        <v>1</v>
      </c>
      <c r="B157" s="25" t="s">
        <v>14</v>
      </c>
      <c r="C157" s="26"/>
      <c r="D157" s="26"/>
      <c r="E157" s="26"/>
      <c r="F157" s="26"/>
      <c r="G157" s="27"/>
    </row>
    <row r="158" spans="1:7" ht="15.75" x14ac:dyDescent="0.25">
      <c r="A158" s="28">
        <f>+A157+0.1</f>
        <v>1.1000000000000001</v>
      </c>
      <c r="B158" s="29" t="s">
        <v>15</v>
      </c>
      <c r="C158" s="30">
        <v>1</v>
      </c>
      <c r="D158" s="31" t="s">
        <v>16</v>
      </c>
      <c r="E158" s="30"/>
      <c r="F158" s="32">
        <f>ROUND(E158*C158,2)</f>
        <v>0</v>
      </c>
      <c r="G158" s="27"/>
    </row>
    <row r="159" spans="1:7" ht="15.75" x14ac:dyDescent="0.25">
      <c r="A159" s="28">
        <f t="shared" ref="A159:A161" si="24">+A158+0.1</f>
        <v>1.2000000000000002</v>
      </c>
      <c r="B159" s="33" t="s">
        <v>17</v>
      </c>
      <c r="C159" s="30">
        <v>1</v>
      </c>
      <c r="D159" s="31" t="s">
        <v>16</v>
      </c>
      <c r="E159" s="34"/>
      <c r="F159" s="32">
        <f t="shared" ref="F159:F161" si="25">ROUND(E159*C159,2)</f>
        <v>0</v>
      </c>
      <c r="G159" s="27"/>
    </row>
    <row r="160" spans="1:7" ht="15.75" x14ac:dyDescent="0.25">
      <c r="A160" s="28">
        <f t="shared" si="24"/>
        <v>1.3000000000000003</v>
      </c>
      <c r="B160" s="33" t="s">
        <v>18</v>
      </c>
      <c r="C160" s="30">
        <f>47.5*66*0.02</f>
        <v>62.7</v>
      </c>
      <c r="D160" s="31" t="s">
        <v>19</v>
      </c>
      <c r="E160" s="34"/>
      <c r="F160" s="32">
        <f t="shared" si="25"/>
        <v>0</v>
      </c>
      <c r="G160" s="27"/>
    </row>
    <row r="161" spans="1:7" ht="15.75" x14ac:dyDescent="0.25">
      <c r="A161" s="28">
        <f t="shared" si="24"/>
        <v>1.4000000000000004</v>
      </c>
      <c r="B161" s="33" t="s">
        <v>20</v>
      </c>
      <c r="C161" s="30">
        <v>1</v>
      </c>
      <c r="D161" s="31" t="s">
        <v>16</v>
      </c>
      <c r="E161" s="34"/>
      <c r="F161" s="32">
        <f t="shared" si="25"/>
        <v>0</v>
      </c>
      <c r="G161" s="27">
        <f>SUM(F158:F161)</f>
        <v>0</v>
      </c>
    </row>
    <row r="162" spans="1:7" ht="15.75" x14ac:dyDescent="0.25">
      <c r="A162" s="28"/>
      <c r="B162" s="33"/>
      <c r="C162" s="30"/>
      <c r="D162" s="31"/>
      <c r="E162" s="34"/>
      <c r="F162" s="32"/>
      <c r="G162" s="27"/>
    </row>
    <row r="163" spans="1:7" ht="15.75" x14ac:dyDescent="0.25">
      <c r="A163" s="35">
        <v>2</v>
      </c>
      <c r="B163" s="36" t="s">
        <v>21</v>
      </c>
      <c r="C163" s="22"/>
      <c r="D163" s="22"/>
      <c r="E163" s="37"/>
      <c r="F163" s="22"/>
      <c r="G163" s="23"/>
    </row>
    <row r="164" spans="1:7" ht="15.75" x14ac:dyDescent="0.25">
      <c r="A164" s="38">
        <f>A163+0.1</f>
        <v>2.1</v>
      </c>
      <c r="B164" s="39" t="s">
        <v>22</v>
      </c>
      <c r="C164" s="40">
        <f>47.5*2+66*2</f>
        <v>227</v>
      </c>
      <c r="D164" s="40" t="s">
        <v>23</v>
      </c>
      <c r="E164" s="41"/>
      <c r="F164" s="32">
        <f>+C164*E164</f>
        <v>0</v>
      </c>
      <c r="G164" s="23"/>
    </row>
    <row r="165" spans="1:7" ht="15.75" x14ac:dyDescent="0.25">
      <c r="A165" s="38">
        <f>A164+0.1</f>
        <v>2.2000000000000002</v>
      </c>
      <c r="B165" s="39" t="s">
        <v>24</v>
      </c>
      <c r="C165" s="22"/>
      <c r="D165" s="22"/>
      <c r="E165" s="41"/>
      <c r="F165" s="22"/>
      <c r="G165" s="23"/>
    </row>
    <row r="166" spans="1:7" ht="30" x14ac:dyDescent="0.25">
      <c r="A166" s="38" t="s">
        <v>25</v>
      </c>
      <c r="B166" s="39" t="s">
        <v>26</v>
      </c>
      <c r="C166" s="32">
        <f>C164*0.45*1</f>
        <v>102.15</v>
      </c>
      <c r="D166" s="42" t="s">
        <v>19</v>
      </c>
      <c r="E166" s="30"/>
      <c r="F166" s="32">
        <f>+C166*E166</f>
        <v>0</v>
      </c>
      <c r="G166" s="43"/>
    </row>
    <row r="167" spans="1:7" ht="15.75" x14ac:dyDescent="0.25">
      <c r="A167" s="38" t="s">
        <v>27</v>
      </c>
      <c r="B167" s="39" t="s">
        <v>28</v>
      </c>
      <c r="C167" s="32">
        <f>C164*0.3*0.75</f>
        <v>51.074999999999996</v>
      </c>
      <c r="D167" s="42" t="s">
        <v>19</v>
      </c>
      <c r="E167" s="30"/>
      <c r="F167" s="32">
        <f>+C167*E167</f>
        <v>0</v>
      </c>
      <c r="G167" s="43"/>
    </row>
    <row r="168" spans="1:7" ht="15.75" x14ac:dyDescent="0.25">
      <c r="A168" s="38" t="s">
        <v>29</v>
      </c>
      <c r="B168" s="44" t="s">
        <v>30</v>
      </c>
      <c r="C168" s="32">
        <f>(C166-C167)*1.3</f>
        <v>66.397500000000022</v>
      </c>
      <c r="D168" s="42" t="s">
        <v>19</v>
      </c>
      <c r="E168" s="30"/>
      <c r="F168" s="45">
        <f>+C168*E168</f>
        <v>0</v>
      </c>
      <c r="G168" s="43"/>
    </row>
    <row r="169" spans="1:7" ht="15.75" x14ac:dyDescent="0.25">
      <c r="A169" s="38">
        <f>A165+0.1</f>
        <v>2.3000000000000003</v>
      </c>
      <c r="B169" s="46" t="s">
        <v>31</v>
      </c>
      <c r="C169" s="32"/>
      <c r="D169" s="47"/>
      <c r="E169" s="48"/>
      <c r="F169" s="49"/>
      <c r="G169" s="50"/>
    </row>
    <row r="170" spans="1:7" ht="15.75" x14ac:dyDescent="0.25">
      <c r="A170" s="38" t="s">
        <v>32</v>
      </c>
      <c r="B170" s="46" t="s">
        <v>33</v>
      </c>
      <c r="C170" s="32">
        <f>C164*0.45*0.25</f>
        <v>25.537500000000001</v>
      </c>
      <c r="D170" s="42" t="s">
        <v>19</v>
      </c>
      <c r="E170" s="48"/>
      <c r="F170" s="45">
        <f t="shared" ref="F170:F177" si="26">+C170*E170</f>
        <v>0</v>
      </c>
      <c r="G170" s="50"/>
    </row>
    <row r="171" spans="1:7" ht="15.75" x14ac:dyDescent="0.25">
      <c r="A171" s="38" t="s">
        <v>34</v>
      </c>
      <c r="B171" s="46" t="s">
        <v>35</v>
      </c>
      <c r="C171" s="32">
        <f>0.9*0.9*0.25*24</f>
        <v>4.8600000000000003</v>
      </c>
      <c r="D171" s="42" t="s">
        <v>19</v>
      </c>
      <c r="E171" s="48"/>
      <c r="F171" s="45">
        <f t="shared" si="26"/>
        <v>0</v>
      </c>
      <c r="G171" s="50"/>
    </row>
    <row r="172" spans="1:7" ht="15.75" x14ac:dyDescent="0.25">
      <c r="A172" s="38" t="s">
        <v>36</v>
      </c>
      <c r="B172" s="46" t="s">
        <v>37</v>
      </c>
      <c r="C172" s="32">
        <f>0.2*0.15*2.35*24</f>
        <v>1.6919999999999997</v>
      </c>
      <c r="D172" s="42" t="s">
        <v>19</v>
      </c>
      <c r="E172" s="48"/>
      <c r="F172" s="45">
        <f t="shared" si="26"/>
        <v>0</v>
      </c>
      <c r="G172" s="50"/>
    </row>
    <row r="173" spans="1:7" ht="15.75" x14ac:dyDescent="0.25">
      <c r="A173" s="38" t="s">
        <v>38</v>
      </c>
      <c r="B173" s="46" t="s">
        <v>39</v>
      </c>
      <c r="C173" s="32">
        <f>(C164-4)*0.15*0.2</f>
        <v>6.6899999999999995</v>
      </c>
      <c r="D173" s="42" t="s">
        <v>19</v>
      </c>
      <c r="E173" s="48"/>
      <c r="F173" s="45">
        <f t="shared" si="26"/>
        <v>0</v>
      </c>
      <c r="G173" s="50"/>
    </row>
    <row r="174" spans="1:7" ht="15.75" x14ac:dyDescent="0.25">
      <c r="A174" s="38">
        <f>A169+0.1</f>
        <v>2.4000000000000004</v>
      </c>
      <c r="B174" s="46" t="s">
        <v>40</v>
      </c>
      <c r="C174" s="32">
        <f>(2.35*(C164-4))</f>
        <v>524.05000000000007</v>
      </c>
      <c r="D174" s="47" t="s">
        <v>41</v>
      </c>
      <c r="E174" s="48"/>
      <c r="F174" s="45">
        <f t="shared" si="26"/>
        <v>0</v>
      </c>
      <c r="G174" s="50"/>
    </row>
    <row r="175" spans="1:7" ht="15.75" x14ac:dyDescent="0.25">
      <c r="A175" s="38">
        <f>A174+0.1</f>
        <v>2.5000000000000004</v>
      </c>
      <c r="B175" s="46" t="s">
        <v>42</v>
      </c>
      <c r="C175" s="32">
        <f>(1.6*(C164-4))*2</f>
        <v>713.6</v>
      </c>
      <c r="D175" s="47" t="s">
        <v>41</v>
      </c>
      <c r="E175" s="48"/>
      <c r="F175" s="45">
        <f t="shared" si="26"/>
        <v>0</v>
      </c>
      <c r="G175" s="50"/>
    </row>
    <row r="176" spans="1:7" ht="30" x14ac:dyDescent="0.25">
      <c r="A176" s="38">
        <f t="shared" ref="A176:A177" si="27">A175+0.1</f>
        <v>2.6000000000000005</v>
      </c>
      <c r="B176" s="46" t="s">
        <v>43</v>
      </c>
      <c r="C176" s="32">
        <v>1</v>
      </c>
      <c r="D176" s="47" t="s">
        <v>44</v>
      </c>
      <c r="E176" s="48"/>
      <c r="F176" s="45">
        <f t="shared" si="26"/>
        <v>0</v>
      </c>
      <c r="G176" s="50"/>
    </row>
    <row r="177" spans="1:7" ht="15.75" x14ac:dyDescent="0.25">
      <c r="A177" s="38">
        <f t="shared" si="27"/>
        <v>2.7000000000000006</v>
      </c>
      <c r="B177" s="46" t="s">
        <v>45</v>
      </c>
      <c r="C177" s="32">
        <f>C164</f>
        <v>227</v>
      </c>
      <c r="D177" s="47" t="s">
        <v>23</v>
      </c>
      <c r="E177" s="48"/>
      <c r="F177" s="45">
        <f t="shared" si="26"/>
        <v>0</v>
      </c>
      <c r="G177" s="50">
        <f>SUM(F164:F177)</f>
        <v>0</v>
      </c>
    </row>
    <row r="178" spans="1:7" ht="15.75" x14ac:dyDescent="0.25">
      <c r="A178" s="51"/>
      <c r="B178" s="52"/>
      <c r="C178" s="32"/>
      <c r="D178" s="47"/>
      <c r="E178" s="48"/>
      <c r="F178" s="45"/>
      <c r="G178" s="50"/>
    </row>
    <row r="179" spans="1:7" ht="15.75" x14ac:dyDescent="0.25">
      <c r="A179" s="35">
        <v>3</v>
      </c>
      <c r="B179" s="52" t="s">
        <v>46</v>
      </c>
      <c r="C179" s="53"/>
      <c r="D179" s="47"/>
      <c r="E179" s="48"/>
      <c r="F179" s="49"/>
      <c r="G179" s="50"/>
    </row>
    <row r="180" spans="1:7" ht="30" x14ac:dyDescent="0.25">
      <c r="A180" s="38">
        <f>A179+0.1</f>
        <v>3.1</v>
      </c>
      <c r="B180" s="46" t="s">
        <v>47</v>
      </c>
      <c r="C180" s="53">
        <v>1</v>
      </c>
      <c r="D180" s="47" t="s">
        <v>16</v>
      </c>
      <c r="E180" s="48"/>
      <c r="F180" s="45">
        <f t="shared" ref="F180:F183" si="28">+C180*E180</f>
        <v>0</v>
      </c>
      <c r="G180" s="50"/>
    </row>
    <row r="181" spans="1:7" ht="15.75" x14ac:dyDescent="0.25">
      <c r="A181" s="38">
        <f t="shared" ref="A181:A183" si="29">A180+0.1</f>
        <v>3.2</v>
      </c>
      <c r="B181" s="46" t="s">
        <v>48</v>
      </c>
      <c r="C181" s="53">
        <v>473.14</v>
      </c>
      <c r="D181" s="47" t="s">
        <v>49</v>
      </c>
      <c r="E181" s="48"/>
      <c r="F181" s="45">
        <f t="shared" si="28"/>
        <v>0</v>
      </c>
      <c r="G181" s="50"/>
    </row>
    <row r="182" spans="1:7" ht="15.75" x14ac:dyDescent="0.25">
      <c r="A182" s="38">
        <f t="shared" si="29"/>
        <v>3.3000000000000003</v>
      </c>
      <c r="B182" s="46" t="s">
        <v>50</v>
      </c>
      <c r="C182" s="53">
        <v>473.14</v>
      </c>
      <c r="D182" s="47" t="s">
        <v>49</v>
      </c>
      <c r="E182" s="48"/>
      <c r="F182" s="45">
        <f t="shared" si="28"/>
        <v>0</v>
      </c>
      <c r="G182" s="50"/>
    </row>
    <row r="183" spans="1:7" ht="15.75" x14ac:dyDescent="0.25">
      <c r="A183" s="38">
        <f t="shared" si="29"/>
        <v>3.4000000000000004</v>
      </c>
      <c r="B183" s="46" t="s">
        <v>51</v>
      </c>
      <c r="C183" s="53">
        <v>1</v>
      </c>
      <c r="D183" s="47" t="s">
        <v>52</v>
      </c>
      <c r="E183" s="48"/>
      <c r="F183" s="45">
        <f t="shared" si="28"/>
        <v>0</v>
      </c>
      <c r="G183" s="50">
        <f>SUM(F180:F183)</f>
        <v>0</v>
      </c>
    </row>
    <row r="184" spans="1:7" ht="15.75" x14ac:dyDescent="0.25">
      <c r="A184" s="51"/>
      <c r="B184" s="94"/>
      <c r="C184" s="32"/>
      <c r="D184" s="42"/>
      <c r="E184" s="30"/>
      <c r="F184" s="45"/>
      <c r="G184" s="43"/>
    </row>
    <row r="185" spans="1:7" ht="31.5" x14ac:dyDescent="0.25">
      <c r="A185" s="35">
        <v>4</v>
      </c>
      <c r="B185" s="36" t="s">
        <v>101</v>
      </c>
      <c r="C185" s="32"/>
      <c r="D185" s="42"/>
      <c r="E185" s="30"/>
      <c r="F185" s="45"/>
      <c r="G185" s="43"/>
    </row>
    <row r="186" spans="1:7" ht="15.75" x14ac:dyDescent="0.25">
      <c r="A186" s="97">
        <f>A185+0.1</f>
        <v>4.0999999999999996</v>
      </c>
      <c r="B186" s="98" t="s">
        <v>22</v>
      </c>
      <c r="C186" s="68">
        <v>1</v>
      </c>
      <c r="D186" s="99" t="s">
        <v>102</v>
      </c>
      <c r="E186" s="68"/>
      <c r="F186" s="68">
        <f>ROUND(E186*C186,2)</f>
        <v>0</v>
      </c>
      <c r="G186" s="43"/>
    </row>
    <row r="187" spans="1:7" ht="15.75" x14ac:dyDescent="0.25">
      <c r="A187" s="97">
        <f t="shared" ref="A187:A190" si="30">A186+0.1</f>
        <v>4.1999999999999993</v>
      </c>
      <c r="B187" s="100" t="s">
        <v>103</v>
      </c>
      <c r="C187" s="68">
        <f>1*0.45*(5.85*2+4.85*3+2.6+2.75+2)</f>
        <v>15.120000000000001</v>
      </c>
      <c r="D187" s="99" t="s">
        <v>104</v>
      </c>
      <c r="E187" s="74"/>
      <c r="F187" s="68">
        <f>ROUND(E187*C187,2)</f>
        <v>0</v>
      </c>
      <c r="G187" s="43"/>
    </row>
    <row r="188" spans="1:7" ht="15.75" x14ac:dyDescent="0.25">
      <c r="A188" s="97">
        <f t="shared" si="30"/>
        <v>4.2999999999999989</v>
      </c>
      <c r="B188" s="100" t="s">
        <v>105</v>
      </c>
      <c r="C188" s="68">
        <f>0.75*0.3*(5.85*2+4.85*3+2.6+2.75+2)</f>
        <v>7.56</v>
      </c>
      <c r="D188" s="99" t="s">
        <v>104</v>
      </c>
      <c r="E188" s="74"/>
      <c r="F188" s="68">
        <f>ROUND(E188*C188,2)</f>
        <v>0</v>
      </c>
      <c r="G188" s="43"/>
    </row>
    <row r="189" spans="1:7" ht="15.75" x14ac:dyDescent="0.25">
      <c r="A189" s="97">
        <f t="shared" si="30"/>
        <v>4.3999999999999986</v>
      </c>
      <c r="B189" s="100" t="s">
        <v>106</v>
      </c>
      <c r="C189" s="68">
        <f>(C187-C188)*1.3</f>
        <v>9.828000000000003</v>
      </c>
      <c r="D189" s="99" t="s">
        <v>104</v>
      </c>
      <c r="E189" s="74"/>
      <c r="F189" s="68">
        <f>ROUND(E189*C189,2)</f>
        <v>0</v>
      </c>
      <c r="G189" s="43"/>
    </row>
    <row r="190" spans="1:7" ht="15.75" x14ac:dyDescent="0.25">
      <c r="A190" s="101">
        <f t="shared" si="30"/>
        <v>4.4999999999999982</v>
      </c>
      <c r="B190" s="102" t="s">
        <v>107</v>
      </c>
      <c r="C190" s="68"/>
      <c r="D190" s="99"/>
      <c r="E190" s="68"/>
      <c r="F190" s="68"/>
      <c r="G190" s="43"/>
    </row>
    <row r="191" spans="1:7" ht="15.75" x14ac:dyDescent="0.25">
      <c r="A191" s="97" t="s">
        <v>108</v>
      </c>
      <c r="B191" s="100" t="s">
        <v>109</v>
      </c>
      <c r="C191" s="68">
        <f>0.25*0.45*(5.85*2+4.85*3+2.6+2.75+2)</f>
        <v>3.7800000000000002</v>
      </c>
      <c r="D191" s="99" t="s">
        <v>104</v>
      </c>
      <c r="E191" s="68"/>
      <c r="F191" s="68">
        <f>ROUND(E191*C191,2)</f>
        <v>0</v>
      </c>
      <c r="G191" s="43"/>
    </row>
    <row r="192" spans="1:7" ht="15.75" x14ac:dyDescent="0.25">
      <c r="A192" s="97" t="s">
        <v>110</v>
      </c>
      <c r="B192" s="100" t="s">
        <v>111</v>
      </c>
      <c r="C192" s="68">
        <f>0.15*0.2*(1.4+1.07+1+1.1*2)</f>
        <v>0.1701</v>
      </c>
      <c r="D192" s="99" t="s">
        <v>104</v>
      </c>
      <c r="E192" s="68"/>
      <c r="F192" s="68">
        <f>ROUND(E192*C192,2)</f>
        <v>0</v>
      </c>
      <c r="G192" s="43"/>
    </row>
    <row r="193" spans="1:7" ht="15.75" x14ac:dyDescent="0.25">
      <c r="A193" s="97" t="s">
        <v>112</v>
      </c>
      <c r="B193" s="100" t="s">
        <v>113</v>
      </c>
      <c r="C193" s="68">
        <f>0.15*0.2*(5.85*2+4.85*3+2.6+2.75+2)</f>
        <v>1.008</v>
      </c>
      <c r="D193" s="99" t="s">
        <v>104</v>
      </c>
      <c r="E193" s="68"/>
      <c r="F193" s="68">
        <f>ROUND(E193*C193,2)</f>
        <v>0</v>
      </c>
      <c r="G193" s="43"/>
    </row>
    <row r="194" spans="1:7" ht="15.75" x14ac:dyDescent="0.25">
      <c r="A194" s="97" t="s">
        <v>114</v>
      </c>
      <c r="B194" s="98" t="s">
        <v>76</v>
      </c>
      <c r="C194" s="68">
        <f>5.5*5.85*0.12</f>
        <v>3.8609999999999993</v>
      </c>
      <c r="D194" s="99" t="s">
        <v>104</v>
      </c>
      <c r="E194" s="68"/>
      <c r="F194" s="68">
        <f>ROUND(E194*C194,2)</f>
        <v>0</v>
      </c>
      <c r="G194" s="43"/>
    </row>
    <row r="195" spans="1:7" ht="15.75" x14ac:dyDescent="0.25">
      <c r="A195" s="103">
        <f>A190+0.1</f>
        <v>4.5999999999999979</v>
      </c>
      <c r="B195" s="102" t="s">
        <v>77</v>
      </c>
      <c r="C195" s="68"/>
      <c r="D195" s="99"/>
      <c r="E195" s="68"/>
      <c r="F195" s="68"/>
      <c r="G195" s="43"/>
    </row>
    <row r="196" spans="1:7" ht="15.75" x14ac:dyDescent="0.25">
      <c r="A196" s="97" t="s">
        <v>115</v>
      </c>
      <c r="B196" s="100" t="s">
        <v>116</v>
      </c>
      <c r="C196" s="68">
        <f>0.75*(5.85*2+4.85*3+2.6+2.75+2)</f>
        <v>25.200000000000003</v>
      </c>
      <c r="D196" s="99" t="s">
        <v>117</v>
      </c>
      <c r="E196" s="68"/>
      <c r="F196" s="68">
        <f>ROUND(E196*C196,2)</f>
        <v>0</v>
      </c>
      <c r="G196" s="43"/>
    </row>
    <row r="197" spans="1:7" ht="15.75" x14ac:dyDescent="0.25">
      <c r="A197" s="97" t="s">
        <v>118</v>
      </c>
      <c r="B197" s="100" t="s">
        <v>119</v>
      </c>
      <c r="C197" s="68">
        <f>2.55*(5.85*2+4.85*3+2.6+2.75+2)</f>
        <v>85.679999999999993</v>
      </c>
      <c r="D197" s="99" t="s">
        <v>117</v>
      </c>
      <c r="E197" s="68"/>
      <c r="F197" s="68">
        <f>ROUND(E197*C197,2)</f>
        <v>0</v>
      </c>
      <c r="G197" s="43"/>
    </row>
    <row r="198" spans="1:7" ht="15.75" x14ac:dyDescent="0.25">
      <c r="A198" s="103">
        <f>A195+0.1</f>
        <v>4.6999999999999975</v>
      </c>
      <c r="B198" s="102" t="s">
        <v>120</v>
      </c>
      <c r="C198" s="68"/>
      <c r="D198" s="99"/>
      <c r="E198" s="68"/>
      <c r="F198" s="68"/>
      <c r="G198" s="43"/>
    </row>
    <row r="199" spans="1:7" ht="15.75" x14ac:dyDescent="0.25">
      <c r="A199" s="97" t="s">
        <v>121</v>
      </c>
      <c r="B199" s="100" t="s">
        <v>122</v>
      </c>
      <c r="C199" s="68">
        <f>2.27+13.44+32.18</f>
        <v>47.89</v>
      </c>
      <c r="D199" s="99" t="s">
        <v>117</v>
      </c>
      <c r="E199" s="68"/>
      <c r="F199" s="68">
        <f>+C199*E199</f>
        <v>0</v>
      </c>
      <c r="G199" s="43"/>
    </row>
    <row r="200" spans="1:7" ht="15.75" x14ac:dyDescent="0.25">
      <c r="A200" s="97" t="s">
        <v>123</v>
      </c>
      <c r="B200" s="100" t="s">
        <v>124</v>
      </c>
      <c r="C200" s="68">
        <f>C197*2</f>
        <v>171.35999999999999</v>
      </c>
      <c r="D200" s="99" t="s">
        <v>117</v>
      </c>
      <c r="E200" s="68"/>
      <c r="F200" s="68">
        <f>ROUND(E200*C200,2)</f>
        <v>0</v>
      </c>
      <c r="G200" s="43"/>
    </row>
    <row r="201" spans="1:7" ht="15.75" x14ac:dyDescent="0.25">
      <c r="A201" s="97" t="s">
        <v>125</v>
      </c>
      <c r="B201" s="100" t="s">
        <v>126</v>
      </c>
      <c r="C201" s="68">
        <f>5.5*5.85</f>
        <v>32.174999999999997</v>
      </c>
      <c r="D201" s="99" t="s">
        <v>117</v>
      </c>
      <c r="E201" s="68"/>
      <c r="F201" s="68">
        <f>ROUND(E201*C201,2)</f>
        <v>0</v>
      </c>
      <c r="G201" s="43"/>
    </row>
    <row r="202" spans="1:7" ht="15.75" x14ac:dyDescent="0.25">
      <c r="A202" s="97" t="s">
        <v>127</v>
      </c>
      <c r="B202" s="100" t="s">
        <v>84</v>
      </c>
      <c r="C202" s="68">
        <f>2.1*(17)+1.1*2+0.8*2*5+1.2*8*5+0.6*8+0.8*8+2.55*12</f>
        <v>135.70000000000002</v>
      </c>
      <c r="D202" s="99" t="s">
        <v>128</v>
      </c>
      <c r="E202" s="68"/>
      <c r="F202" s="68">
        <f>ROUND(E202*C202,2)</f>
        <v>0</v>
      </c>
      <c r="G202" s="43"/>
    </row>
    <row r="203" spans="1:7" ht="15.75" x14ac:dyDescent="0.25">
      <c r="A203" s="97" t="s">
        <v>129</v>
      </c>
      <c r="B203" s="100" t="s">
        <v>130</v>
      </c>
      <c r="C203" s="68">
        <f>C201</f>
        <v>32.174999999999997</v>
      </c>
      <c r="D203" s="99" t="s">
        <v>117</v>
      </c>
      <c r="E203" s="68"/>
      <c r="F203" s="68">
        <f>ROUND(E203*C203,2)</f>
        <v>0</v>
      </c>
      <c r="G203" s="43"/>
    </row>
    <row r="204" spans="1:7" ht="15.75" x14ac:dyDescent="0.25">
      <c r="A204" s="103">
        <f>A198+0.1</f>
        <v>4.7999999999999972</v>
      </c>
      <c r="B204" s="102" t="s">
        <v>131</v>
      </c>
      <c r="C204" s="68"/>
      <c r="D204" s="99"/>
      <c r="E204" s="68"/>
      <c r="F204" s="68"/>
      <c r="G204" s="43"/>
    </row>
    <row r="205" spans="1:7" ht="15.75" x14ac:dyDescent="0.25">
      <c r="A205" s="97" t="s">
        <v>132</v>
      </c>
      <c r="B205" s="100" t="s">
        <v>133</v>
      </c>
      <c r="C205" s="68">
        <f>5.65+7.97+12.88</f>
        <v>26.5</v>
      </c>
      <c r="D205" s="99" t="s">
        <v>117</v>
      </c>
      <c r="E205" s="68"/>
      <c r="F205" s="68">
        <f>ROUND(E205*C205,2)</f>
        <v>0</v>
      </c>
      <c r="G205" s="43"/>
    </row>
    <row r="206" spans="1:7" ht="15.75" x14ac:dyDescent="0.25">
      <c r="A206" s="97" t="s">
        <v>134</v>
      </c>
      <c r="B206" s="100" t="s">
        <v>135</v>
      </c>
      <c r="C206" s="68">
        <f>48+4.8</f>
        <v>52.8</v>
      </c>
      <c r="D206" s="99" t="s">
        <v>128</v>
      </c>
      <c r="E206" s="68"/>
      <c r="F206" s="68">
        <f>ROUND(C206*E206,2)</f>
        <v>0</v>
      </c>
      <c r="G206" s="43"/>
    </row>
    <row r="207" spans="1:7" ht="15.75" x14ac:dyDescent="0.25">
      <c r="A207" s="97" t="s">
        <v>136</v>
      </c>
      <c r="B207" s="100" t="s">
        <v>137</v>
      </c>
      <c r="C207" s="68">
        <f>1*(4.85*2+5.85*2)</f>
        <v>21.4</v>
      </c>
      <c r="D207" s="99" t="s">
        <v>117</v>
      </c>
      <c r="E207" s="68"/>
      <c r="F207" s="68">
        <f>ROUND(C207*E207,2)</f>
        <v>0</v>
      </c>
      <c r="G207" s="43"/>
    </row>
    <row r="208" spans="1:7" ht="15.75" x14ac:dyDescent="0.25">
      <c r="A208" s="103">
        <f>A204+0.1</f>
        <v>4.8999999999999968</v>
      </c>
      <c r="B208" s="102" t="s">
        <v>138</v>
      </c>
      <c r="C208" s="68"/>
      <c r="D208" s="99"/>
      <c r="E208" s="68"/>
      <c r="F208" s="68"/>
      <c r="G208" s="43"/>
    </row>
    <row r="209" spans="1:7" ht="15.75" x14ac:dyDescent="0.25">
      <c r="A209" s="97" t="s">
        <v>139</v>
      </c>
      <c r="B209" s="100" t="s">
        <v>140</v>
      </c>
      <c r="C209" s="68">
        <f>0.4*(1.5+2)</f>
        <v>1.4000000000000001</v>
      </c>
      <c r="D209" s="99" t="s">
        <v>117</v>
      </c>
      <c r="E209" s="68"/>
      <c r="F209" s="68">
        <f>ROUND(C209*E209,2)</f>
        <v>0</v>
      </c>
      <c r="G209" s="43"/>
    </row>
    <row r="210" spans="1:7" ht="15.75" x14ac:dyDescent="0.25">
      <c r="A210" s="97" t="s">
        <v>141</v>
      </c>
      <c r="B210" s="100" t="s">
        <v>142</v>
      </c>
      <c r="C210" s="68">
        <f>1.8*(1.3+1.95+1.8)</f>
        <v>9.09</v>
      </c>
      <c r="D210" s="99" t="s">
        <v>117</v>
      </c>
      <c r="E210" s="68"/>
      <c r="F210" s="68">
        <f>ROUND(C210*E210,2)</f>
        <v>0</v>
      </c>
      <c r="G210" s="43"/>
    </row>
    <row r="211" spans="1:7" ht="15.75" x14ac:dyDescent="0.25">
      <c r="A211" s="104">
        <v>4.0999999999999996</v>
      </c>
      <c r="B211" s="105" t="s">
        <v>143</v>
      </c>
      <c r="C211" s="106"/>
      <c r="D211" s="107"/>
      <c r="E211" s="106"/>
      <c r="F211" s="106"/>
      <c r="G211" s="50"/>
    </row>
    <row r="212" spans="1:7" ht="15.75" x14ac:dyDescent="0.25">
      <c r="A212" s="97" t="s">
        <v>144</v>
      </c>
      <c r="B212" s="100" t="s">
        <v>145</v>
      </c>
      <c r="C212" s="68">
        <v>5</v>
      </c>
      <c r="D212" s="99" t="s">
        <v>8</v>
      </c>
      <c r="E212" s="68"/>
      <c r="F212" s="68">
        <f>ROUND(C212*E212,2)</f>
        <v>0</v>
      </c>
      <c r="G212" s="43"/>
    </row>
    <row r="213" spans="1:7" ht="15.75" x14ac:dyDescent="0.25">
      <c r="A213" s="97" t="s">
        <v>146</v>
      </c>
      <c r="B213" s="100" t="s">
        <v>59</v>
      </c>
      <c r="C213" s="68">
        <f>10.76*(1.2*1.2*5+0.8*0.5+0.6*0.5)</f>
        <v>85.003999999999991</v>
      </c>
      <c r="D213" s="99" t="s">
        <v>147</v>
      </c>
      <c r="E213" s="68"/>
      <c r="F213" s="68">
        <f>ROUND(E213*C213,2)</f>
        <v>0</v>
      </c>
      <c r="G213" s="43"/>
    </row>
    <row r="214" spans="1:7" ht="15.75" x14ac:dyDescent="0.25">
      <c r="A214" s="97" t="s">
        <v>148</v>
      </c>
      <c r="B214" s="100" t="s">
        <v>149</v>
      </c>
      <c r="C214" s="68">
        <f>10.76*0.4*(1.1+2)</f>
        <v>13.342400000000001</v>
      </c>
      <c r="D214" s="99" t="s">
        <v>147</v>
      </c>
      <c r="E214" s="68"/>
      <c r="F214" s="68">
        <f>ROUND(E214*C214,2)</f>
        <v>0</v>
      </c>
      <c r="G214" s="43"/>
    </row>
    <row r="215" spans="1:7" ht="15.75" x14ac:dyDescent="0.25">
      <c r="A215" s="104">
        <f>A211+0.01</f>
        <v>4.1099999999999994</v>
      </c>
      <c r="B215" s="108" t="s">
        <v>150</v>
      </c>
      <c r="C215" s="106"/>
      <c r="D215" s="107"/>
      <c r="E215" s="106"/>
      <c r="F215" s="106"/>
      <c r="G215" s="50"/>
    </row>
    <row r="216" spans="1:7" ht="15.75" x14ac:dyDescent="0.25">
      <c r="A216" s="97" t="s">
        <v>151</v>
      </c>
      <c r="B216" s="109" t="s">
        <v>152</v>
      </c>
      <c r="C216" s="68">
        <v>1</v>
      </c>
      <c r="D216" s="99" t="s">
        <v>8</v>
      </c>
      <c r="E216" s="68"/>
      <c r="F216" s="68">
        <f t="shared" ref="F216:F226" si="31">ROUND(E216*C216,2)</f>
        <v>0</v>
      </c>
      <c r="G216" s="43"/>
    </row>
    <row r="217" spans="1:7" ht="15.75" x14ac:dyDescent="0.25">
      <c r="A217" s="97" t="s">
        <v>153</v>
      </c>
      <c r="B217" s="109" t="s">
        <v>154</v>
      </c>
      <c r="C217" s="68">
        <v>1</v>
      </c>
      <c r="D217" s="99" t="s">
        <v>8</v>
      </c>
      <c r="E217" s="68"/>
      <c r="F217" s="68">
        <f t="shared" si="31"/>
        <v>0</v>
      </c>
      <c r="G217" s="43"/>
    </row>
    <row r="218" spans="1:7" ht="15.75" x14ac:dyDescent="0.25">
      <c r="A218" s="97" t="s">
        <v>155</v>
      </c>
      <c r="B218" s="109" t="s">
        <v>156</v>
      </c>
      <c r="C218" s="68">
        <v>1</v>
      </c>
      <c r="D218" s="99" t="s">
        <v>8</v>
      </c>
      <c r="E218" s="68"/>
      <c r="F218" s="68">
        <f t="shared" si="31"/>
        <v>0</v>
      </c>
      <c r="G218" s="43"/>
    </row>
    <row r="219" spans="1:7" ht="15.75" x14ac:dyDescent="0.25">
      <c r="A219" s="97" t="s">
        <v>157</v>
      </c>
      <c r="B219" s="109" t="s">
        <v>158</v>
      </c>
      <c r="C219" s="68">
        <v>2</v>
      </c>
      <c r="D219" s="99" t="s">
        <v>8</v>
      </c>
      <c r="E219" s="68"/>
      <c r="F219" s="68">
        <f t="shared" si="31"/>
        <v>0</v>
      </c>
      <c r="G219" s="43"/>
    </row>
    <row r="220" spans="1:7" ht="15.75" x14ac:dyDescent="0.25">
      <c r="A220" s="97" t="s">
        <v>159</v>
      </c>
      <c r="B220" s="109" t="s">
        <v>160</v>
      </c>
      <c r="C220" s="68">
        <v>1</v>
      </c>
      <c r="D220" s="99" t="s">
        <v>8</v>
      </c>
      <c r="E220" s="68"/>
      <c r="F220" s="68">
        <f t="shared" si="31"/>
        <v>0</v>
      </c>
      <c r="G220" s="43"/>
    </row>
    <row r="221" spans="1:7" ht="15.75" x14ac:dyDescent="0.25">
      <c r="A221" s="97" t="s">
        <v>161</v>
      </c>
      <c r="B221" s="109" t="s">
        <v>162</v>
      </c>
      <c r="C221" s="68">
        <f>3.4+6.55+5.99+5.79+2+2.36</f>
        <v>26.09</v>
      </c>
      <c r="D221" s="99" t="s">
        <v>128</v>
      </c>
      <c r="E221" s="68"/>
      <c r="F221" s="68">
        <f t="shared" si="31"/>
        <v>0</v>
      </c>
      <c r="G221" s="43"/>
    </row>
    <row r="222" spans="1:7" ht="15.75" x14ac:dyDescent="0.25">
      <c r="A222" s="97" t="s">
        <v>163</v>
      </c>
      <c r="B222" s="109" t="s">
        <v>164</v>
      </c>
      <c r="C222" s="68">
        <v>5.79</v>
      </c>
      <c r="D222" s="99" t="s">
        <v>128</v>
      </c>
      <c r="E222" s="68"/>
      <c r="F222" s="68">
        <f t="shared" si="31"/>
        <v>0</v>
      </c>
      <c r="G222" s="43"/>
    </row>
    <row r="223" spans="1:7" ht="15.75" x14ac:dyDescent="0.25">
      <c r="A223" s="97" t="s">
        <v>165</v>
      </c>
      <c r="B223" s="109" t="s">
        <v>166</v>
      </c>
      <c r="C223" s="68">
        <f>4.6+5.71</f>
        <v>10.309999999999999</v>
      </c>
      <c r="D223" s="99" t="s">
        <v>128</v>
      </c>
      <c r="E223" s="68"/>
      <c r="F223" s="68">
        <f t="shared" si="31"/>
        <v>0</v>
      </c>
      <c r="G223" s="43"/>
    </row>
    <row r="224" spans="1:7" ht="15.75" x14ac:dyDescent="0.25">
      <c r="A224" s="97" t="s">
        <v>167</v>
      </c>
      <c r="B224" s="109" t="s">
        <v>168</v>
      </c>
      <c r="C224" s="68">
        <v>1</v>
      </c>
      <c r="D224" s="99" t="s">
        <v>102</v>
      </c>
      <c r="E224" s="68"/>
      <c r="F224" s="68">
        <f t="shared" si="31"/>
        <v>0</v>
      </c>
      <c r="G224" s="43"/>
    </row>
    <row r="225" spans="1:7" ht="15.75" x14ac:dyDescent="0.25">
      <c r="A225" s="97" t="s">
        <v>169</v>
      </c>
      <c r="B225" s="109" t="s">
        <v>170</v>
      </c>
      <c r="C225" s="68">
        <v>1</v>
      </c>
      <c r="D225" s="99" t="s">
        <v>102</v>
      </c>
      <c r="E225" s="68"/>
      <c r="F225" s="68">
        <f t="shared" si="31"/>
        <v>0</v>
      </c>
      <c r="G225" s="43"/>
    </row>
    <row r="226" spans="1:7" ht="15.75" x14ac:dyDescent="0.25">
      <c r="A226" s="97" t="s">
        <v>171</v>
      </c>
      <c r="B226" s="110" t="s">
        <v>172</v>
      </c>
      <c r="C226" s="68">
        <v>1</v>
      </c>
      <c r="D226" s="99" t="s">
        <v>102</v>
      </c>
      <c r="E226" s="68"/>
      <c r="F226" s="68">
        <f t="shared" si="31"/>
        <v>0</v>
      </c>
      <c r="G226" s="43"/>
    </row>
    <row r="227" spans="1:7" ht="15.75" x14ac:dyDescent="0.25">
      <c r="A227" s="111">
        <f>A215+0.01</f>
        <v>4.1199999999999992</v>
      </c>
      <c r="B227" s="112" t="s">
        <v>173</v>
      </c>
      <c r="C227" s="113"/>
      <c r="D227" s="114"/>
      <c r="E227" s="113"/>
      <c r="F227" s="113"/>
      <c r="G227" s="43"/>
    </row>
    <row r="228" spans="1:7" ht="15.75" x14ac:dyDescent="0.25">
      <c r="A228" s="97" t="s">
        <v>174</v>
      </c>
      <c r="B228" s="100" t="s">
        <v>175</v>
      </c>
      <c r="C228" s="68">
        <f>(2.25+1.2)*(1.2+1.2)*1.8</f>
        <v>14.904</v>
      </c>
      <c r="D228" s="99" t="s">
        <v>104</v>
      </c>
      <c r="E228" s="115"/>
      <c r="F228" s="68">
        <f t="shared" ref="F228:F239" si="32">+C228*E228</f>
        <v>0</v>
      </c>
      <c r="G228" s="43"/>
    </row>
    <row r="229" spans="1:7" ht="15.75" x14ac:dyDescent="0.25">
      <c r="A229" s="97" t="s">
        <v>176</v>
      </c>
      <c r="B229" s="109" t="s">
        <v>177</v>
      </c>
      <c r="C229" s="68">
        <f>((2.25+1.2)*1.2+(1.2*1.2))*1.5</f>
        <v>8.370000000000001</v>
      </c>
      <c r="D229" s="99" t="s">
        <v>104</v>
      </c>
      <c r="E229" s="68"/>
      <c r="F229" s="68">
        <f t="shared" si="32"/>
        <v>0</v>
      </c>
      <c r="G229" s="43"/>
    </row>
    <row r="230" spans="1:7" ht="15.75" x14ac:dyDescent="0.25">
      <c r="A230" s="97" t="s">
        <v>178</v>
      </c>
      <c r="B230" s="109" t="s">
        <v>106</v>
      </c>
      <c r="C230" s="68">
        <f>(C228-C229)*1.3</f>
        <v>8.4941999999999993</v>
      </c>
      <c r="D230" s="99" t="s">
        <v>104</v>
      </c>
      <c r="E230" s="115"/>
      <c r="F230" s="68">
        <f t="shared" si="32"/>
        <v>0</v>
      </c>
      <c r="G230" s="43"/>
    </row>
    <row r="231" spans="1:7" ht="15.75" x14ac:dyDescent="0.25">
      <c r="A231" s="97" t="s">
        <v>179</v>
      </c>
      <c r="B231" s="109" t="s">
        <v>180</v>
      </c>
      <c r="C231" s="68">
        <f>2.25*1.2*0.2</f>
        <v>0.53999999999999992</v>
      </c>
      <c r="D231" s="99" t="s">
        <v>104</v>
      </c>
      <c r="E231" s="115"/>
      <c r="F231" s="68">
        <f t="shared" si="32"/>
        <v>0</v>
      </c>
      <c r="G231" s="43"/>
    </row>
    <row r="232" spans="1:7" ht="15.75" x14ac:dyDescent="0.25">
      <c r="A232" s="97" t="s">
        <v>181</v>
      </c>
      <c r="B232" s="109" t="s">
        <v>182</v>
      </c>
      <c r="C232" s="68">
        <f>1.5*(2.25*2+0.9*2)</f>
        <v>9.4499999999999993</v>
      </c>
      <c r="D232" s="99" t="s">
        <v>104</v>
      </c>
      <c r="E232" s="115"/>
      <c r="F232" s="68">
        <f t="shared" si="32"/>
        <v>0</v>
      </c>
      <c r="G232" s="43"/>
    </row>
    <row r="233" spans="1:7" ht="15.75" x14ac:dyDescent="0.25">
      <c r="A233" s="97" t="s">
        <v>183</v>
      </c>
      <c r="B233" s="109" t="s">
        <v>184</v>
      </c>
      <c r="C233" s="68">
        <f>2.25*1.2*0.1</f>
        <v>0.26999999999999996</v>
      </c>
      <c r="D233" s="99" t="s">
        <v>104</v>
      </c>
      <c r="E233" s="115"/>
      <c r="F233" s="68">
        <f t="shared" si="32"/>
        <v>0</v>
      </c>
      <c r="G233" s="43"/>
    </row>
    <row r="234" spans="1:7" ht="15.75" x14ac:dyDescent="0.25">
      <c r="A234" s="97" t="s">
        <v>185</v>
      </c>
      <c r="B234" s="109" t="s">
        <v>186</v>
      </c>
      <c r="C234" s="68">
        <f>0.9*1.95</f>
        <v>1.7549999999999999</v>
      </c>
      <c r="D234" s="99" t="s">
        <v>117</v>
      </c>
      <c r="E234" s="115"/>
      <c r="F234" s="68">
        <f t="shared" si="32"/>
        <v>0</v>
      </c>
      <c r="G234" s="43"/>
    </row>
    <row r="235" spans="1:7" ht="15.75" x14ac:dyDescent="0.25">
      <c r="A235" s="97" t="s">
        <v>187</v>
      </c>
      <c r="B235" s="109" t="s">
        <v>188</v>
      </c>
      <c r="C235" s="68">
        <f>2.25*1.2</f>
        <v>2.6999999999999997</v>
      </c>
      <c r="D235" s="99" t="s">
        <v>117</v>
      </c>
      <c r="E235" s="115"/>
      <c r="F235" s="68">
        <f t="shared" si="32"/>
        <v>0</v>
      </c>
      <c r="G235" s="43"/>
    </row>
    <row r="236" spans="1:7" ht="15.75" x14ac:dyDescent="0.25">
      <c r="A236" s="97" t="s">
        <v>189</v>
      </c>
      <c r="B236" s="109" t="s">
        <v>190</v>
      </c>
      <c r="C236" s="68">
        <f>1.95*2+1.2*2</f>
        <v>6.3</v>
      </c>
      <c r="D236" s="99" t="s">
        <v>128</v>
      </c>
      <c r="E236" s="115"/>
      <c r="F236" s="68">
        <f t="shared" si="32"/>
        <v>0</v>
      </c>
      <c r="G236" s="43"/>
    </row>
    <row r="237" spans="1:7" ht="15.75" x14ac:dyDescent="0.25">
      <c r="A237" s="97" t="s">
        <v>191</v>
      </c>
      <c r="B237" s="109" t="s">
        <v>82</v>
      </c>
      <c r="C237" s="68">
        <f>1.5*(1.95*2+0.9*2)</f>
        <v>8.5500000000000007</v>
      </c>
      <c r="D237" s="99" t="s">
        <v>117</v>
      </c>
      <c r="E237" s="115"/>
      <c r="F237" s="68">
        <f t="shared" si="32"/>
        <v>0</v>
      </c>
      <c r="G237" s="43"/>
    </row>
    <row r="238" spans="1:7" ht="15.75" x14ac:dyDescent="0.25">
      <c r="A238" s="97" t="s">
        <v>192</v>
      </c>
      <c r="B238" s="109" t="s">
        <v>193</v>
      </c>
      <c r="C238" s="68">
        <v>1</v>
      </c>
      <c r="D238" s="99" t="s">
        <v>8</v>
      </c>
      <c r="E238" s="115"/>
      <c r="F238" s="68">
        <f t="shared" si="32"/>
        <v>0</v>
      </c>
      <c r="G238" s="43"/>
    </row>
    <row r="239" spans="1:7" ht="15.75" x14ac:dyDescent="0.25">
      <c r="A239" s="97" t="s">
        <v>194</v>
      </c>
      <c r="B239" s="109" t="s">
        <v>195</v>
      </c>
      <c r="C239" s="68">
        <v>1</v>
      </c>
      <c r="D239" s="99" t="s">
        <v>8</v>
      </c>
      <c r="E239" s="115"/>
      <c r="F239" s="68">
        <f t="shared" si="32"/>
        <v>0</v>
      </c>
      <c r="G239" s="43"/>
    </row>
    <row r="240" spans="1:7" ht="15.75" x14ac:dyDescent="0.25">
      <c r="A240" s="116">
        <f>A227+0.01</f>
        <v>4.129999999999999</v>
      </c>
      <c r="B240" s="102" t="s">
        <v>196</v>
      </c>
      <c r="C240" s="68">
        <v>1</v>
      </c>
      <c r="D240" s="99" t="s">
        <v>102</v>
      </c>
      <c r="E240" s="115"/>
      <c r="F240" s="68">
        <f>+C240*E240</f>
        <v>0</v>
      </c>
      <c r="G240" s="43">
        <f>SUM(F186:F240)</f>
        <v>0</v>
      </c>
    </row>
    <row r="241" spans="1:7" ht="15.75" x14ac:dyDescent="0.25">
      <c r="A241" s="117"/>
      <c r="B241" s="102"/>
      <c r="C241" s="68"/>
      <c r="D241" s="99"/>
      <c r="E241" s="68"/>
      <c r="F241" s="68"/>
      <c r="G241" s="43"/>
    </row>
    <row r="242" spans="1:7" ht="31.5" x14ac:dyDescent="0.25">
      <c r="A242" s="35">
        <v>5</v>
      </c>
      <c r="B242" s="73" t="s">
        <v>66</v>
      </c>
      <c r="C242" s="40"/>
      <c r="D242" s="22"/>
      <c r="E242" s="41"/>
      <c r="F242" s="22"/>
      <c r="G242" s="23"/>
    </row>
    <row r="243" spans="1:7" ht="15.75" x14ac:dyDescent="0.25">
      <c r="A243" s="38">
        <f>A242+0.1</f>
        <v>5.0999999999999996</v>
      </c>
      <c r="B243" s="44" t="s">
        <v>22</v>
      </c>
      <c r="C243" s="32">
        <v>1</v>
      </c>
      <c r="D243" s="42" t="s">
        <v>16</v>
      </c>
      <c r="E243" s="74"/>
      <c r="F243" s="32">
        <f>+C243*E243</f>
        <v>0</v>
      </c>
      <c r="G243" s="43"/>
    </row>
    <row r="244" spans="1:7" x14ac:dyDescent="0.25">
      <c r="A244" s="38">
        <f t="shared" ref="A244:A247" si="33">A243+0.1</f>
        <v>5.1999999999999993</v>
      </c>
      <c r="B244" s="44" t="s">
        <v>67</v>
      </c>
      <c r="C244" s="32">
        <f>0.8*0.45*(1.6*3+2.85*2)</f>
        <v>3.7800000000000002</v>
      </c>
      <c r="D244" s="42" t="s">
        <v>19</v>
      </c>
      <c r="E244" s="74"/>
      <c r="F244" s="32">
        <f>+C244*E244</f>
        <v>0</v>
      </c>
      <c r="G244" s="75"/>
    </row>
    <row r="245" spans="1:7" ht="15.75" x14ac:dyDescent="0.25">
      <c r="A245" s="38">
        <f t="shared" si="33"/>
        <v>5.2999999999999989</v>
      </c>
      <c r="B245" s="44" t="s">
        <v>28</v>
      </c>
      <c r="C245" s="32">
        <f>0.6*0.3*(1.6*3+2.85*2)</f>
        <v>1.89</v>
      </c>
      <c r="D245" s="42" t="s">
        <v>19</v>
      </c>
      <c r="E245" s="74"/>
      <c r="F245" s="32">
        <f>+C245*E245</f>
        <v>0</v>
      </c>
      <c r="G245" s="43"/>
    </row>
    <row r="246" spans="1:7" ht="15.75" x14ac:dyDescent="0.25">
      <c r="A246" s="38">
        <f t="shared" si="33"/>
        <v>5.3999999999999986</v>
      </c>
      <c r="B246" s="39" t="s">
        <v>68</v>
      </c>
      <c r="C246" s="32">
        <f>(C244-C245)*1.2</f>
        <v>2.2680000000000002</v>
      </c>
      <c r="D246" s="42" t="s">
        <v>19</v>
      </c>
      <c r="E246" s="74"/>
      <c r="F246" s="32">
        <f>+C246*E246</f>
        <v>0</v>
      </c>
      <c r="G246" s="43"/>
    </row>
    <row r="247" spans="1:7" ht="15.75" x14ac:dyDescent="0.25">
      <c r="A247" s="51">
        <f t="shared" si="33"/>
        <v>5.4999999999999982</v>
      </c>
      <c r="B247" s="36" t="s">
        <v>31</v>
      </c>
      <c r="C247" s="32"/>
      <c r="D247" s="42"/>
      <c r="E247" s="74"/>
      <c r="F247" s="32"/>
      <c r="G247" s="75"/>
    </row>
    <row r="248" spans="1:7" x14ac:dyDescent="0.25">
      <c r="A248" s="76" t="s">
        <v>69</v>
      </c>
      <c r="B248" s="44" t="s">
        <v>70</v>
      </c>
      <c r="C248" s="45">
        <f>(1.6*3+2.85*2)*0.45*0.2</f>
        <v>0.94500000000000017</v>
      </c>
      <c r="D248" s="42" t="s">
        <v>19</v>
      </c>
      <c r="E248" s="30"/>
      <c r="F248" s="45">
        <f>+C248*E248</f>
        <v>0</v>
      </c>
      <c r="G248" s="77"/>
    </row>
    <row r="249" spans="1:7" ht="15.75" x14ac:dyDescent="0.25">
      <c r="A249" s="76" t="s">
        <v>71</v>
      </c>
      <c r="B249" s="44" t="s">
        <v>72</v>
      </c>
      <c r="C249" s="32">
        <f>1.6*2.85*0.1</f>
        <v>0.45600000000000007</v>
      </c>
      <c r="D249" s="42" t="s">
        <v>19</v>
      </c>
      <c r="E249" s="74"/>
      <c r="F249" s="45">
        <f>+C249*E249</f>
        <v>0</v>
      </c>
      <c r="G249" s="43"/>
    </row>
    <row r="250" spans="1:7" x14ac:dyDescent="0.25">
      <c r="A250" s="76" t="s">
        <v>73</v>
      </c>
      <c r="B250" s="44" t="s">
        <v>74</v>
      </c>
      <c r="C250" s="78">
        <f>0.15*0.2*(2.85*2+1.6*3)*2</f>
        <v>0.63</v>
      </c>
      <c r="D250" s="42" t="s">
        <v>19</v>
      </c>
      <c r="E250" s="74"/>
      <c r="F250" s="45">
        <f>+C250*E250</f>
        <v>0</v>
      </c>
      <c r="G250" s="75"/>
    </row>
    <row r="251" spans="1:7" ht="15.75" x14ac:dyDescent="0.25">
      <c r="A251" s="76" t="s">
        <v>75</v>
      </c>
      <c r="B251" s="44" t="s">
        <v>76</v>
      </c>
      <c r="C251" s="32">
        <f>2.5*3.45*0.1</f>
        <v>0.86250000000000004</v>
      </c>
      <c r="D251" s="42" t="s">
        <v>19</v>
      </c>
      <c r="E251" s="74"/>
      <c r="F251" s="45">
        <f>+C251*E251</f>
        <v>0</v>
      </c>
      <c r="G251" s="43"/>
    </row>
    <row r="252" spans="1:7" ht="15.75" x14ac:dyDescent="0.25">
      <c r="A252" s="51">
        <f>A247+0.1</f>
        <v>5.5999999999999979</v>
      </c>
      <c r="B252" s="36" t="s">
        <v>77</v>
      </c>
      <c r="C252" s="32"/>
      <c r="D252" s="42"/>
      <c r="E252" s="74"/>
      <c r="F252" s="32"/>
      <c r="G252" s="43"/>
    </row>
    <row r="253" spans="1:7" ht="15.75" x14ac:dyDescent="0.25">
      <c r="A253" s="76" t="s">
        <v>78</v>
      </c>
      <c r="B253" s="39" t="s">
        <v>79</v>
      </c>
      <c r="C253" s="32">
        <f>2.1*(1.6*3+2.85*2)-(2.1*0.8+1.1*1.2)</f>
        <v>19.05</v>
      </c>
      <c r="D253" s="42" t="s">
        <v>41</v>
      </c>
      <c r="E253" s="74"/>
      <c r="F253" s="45">
        <f t="shared" ref="F253:F261" si="34">+C253*E253</f>
        <v>0</v>
      </c>
      <c r="G253" s="43"/>
    </row>
    <row r="254" spans="1:7" ht="15.75" x14ac:dyDescent="0.25">
      <c r="A254" s="76" t="s">
        <v>80</v>
      </c>
      <c r="B254" s="39" t="s">
        <v>81</v>
      </c>
      <c r="C254" s="32">
        <f>(2.1*0.8+1.1*1.2)</f>
        <v>3</v>
      </c>
      <c r="D254" s="42" t="s">
        <v>41</v>
      </c>
      <c r="E254" s="74"/>
      <c r="F254" s="45">
        <f t="shared" si="34"/>
        <v>0</v>
      </c>
      <c r="G254" s="43"/>
    </row>
    <row r="255" spans="1:7" x14ac:dyDescent="0.25">
      <c r="A255" s="38">
        <f>A252+0.1</f>
        <v>5.6999999999999975</v>
      </c>
      <c r="B255" s="44" t="s">
        <v>82</v>
      </c>
      <c r="C255" s="32">
        <f>C253*2+C251/0.1+10</f>
        <v>56.725000000000001</v>
      </c>
      <c r="D255" s="42" t="s">
        <v>41</v>
      </c>
      <c r="E255" s="74"/>
      <c r="F255" s="32">
        <f t="shared" si="34"/>
        <v>0</v>
      </c>
      <c r="G255" s="75"/>
    </row>
    <row r="256" spans="1:7" ht="15.75" x14ac:dyDescent="0.25">
      <c r="A256" s="38">
        <f>A255+0.1</f>
        <v>5.7999999999999972</v>
      </c>
      <c r="B256" s="44" t="s">
        <v>83</v>
      </c>
      <c r="C256" s="32">
        <f>C251/0.1</f>
        <v>8.625</v>
      </c>
      <c r="D256" s="42" t="s">
        <v>41</v>
      </c>
      <c r="E256" s="74"/>
      <c r="F256" s="32">
        <f t="shared" si="34"/>
        <v>0</v>
      </c>
      <c r="G256" s="43"/>
    </row>
    <row r="257" spans="1:7" ht="15.75" x14ac:dyDescent="0.25">
      <c r="A257" s="38">
        <f>A256+0.1</f>
        <v>5.8999999999999968</v>
      </c>
      <c r="B257" s="44" t="s">
        <v>84</v>
      </c>
      <c r="C257" s="32">
        <f>2.1*4*5+0.9*2*2+1.2*4+0.8*4</f>
        <v>53.6</v>
      </c>
      <c r="D257" s="42" t="s">
        <v>23</v>
      </c>
      <c r="E257" s="74"/>
      <c r="F257" s="32">
        <f t="shared" si="34"/>
        <v>0</v>
      </c>
      <c r="G257" s="43"/>
    </row>
    <row r="258" spans="1:7" ht="15.75" x14ac:dyDescent="0.25">
      <c r="A258" s="79">
        <f>A257-0.8</f>
        <v>5.099999999999997</v>
      </c>
      <c r="B258" s="39" t="s">
        <v>64</v>
      </c>
      <c r="C258" s="32">
        <f>3.45*2.5</f>
        <v>8.625</v>
      </c>
      <c r="D258" s="42" t="s">
        <v>41</v>
      </c>
      <c r="E258" s="74"/>
      <c r="F258" s="32">
        <f t="shared" si="34"/>
        <v>0</v>
      </c>
      <c r="G258" s="43"/>
    </row>
    <row r="259" spans="1:7" ht="15.75" x14ac:dyDescent="0.25">
      <c r="A259" s="79">
        <f>A258+0.01</f>
        <v>5.1099999999999968</v>
      </c>
      <c r="B259" s="39" t="s">
        <v>85</v>
      </c>
      <c r="C259" s="32">
        <f>C255</f>
        <v>56.725000000000001</v>
      </c>
      <c r="D259" s="42" t="s">
        <v>41</v>
      </c>
      <c r="E259" s="74"/>
      <c r="F259" s="32">
        <f t="shared" si="34"/>
        <v>0</v>
      </c>
      <c r="G259" s="43"/>
    </row>
    <row r="260" spans="1:7" ht="15.75" x14ac:dyDescent="0.25">
      <c r="A260" s="79">
        <f>A259+0.01</f>
        <v>5.1199999999999966</v>
      </c>
      <c r="B260" s="44" t="s">
        <v>86</v>
      </c>
      <c r="C260" s="32">
        <v>2</v>
      </c>
      <c r="D260" s="42" t="s">
        <v>44</v>
      </c>
      <c r="E260" s="74"/>
      <c r="F260" s="32">
        <f t="shared" si="34"/>
        <v>0</v>
      </c>
      <c r="G260" s="43"/>
    </row>
    <row r="261" spans="1:7" ht="15.75" x14ac:dyDescent="0.25">
      <c r="A261" s="79">
        <f>A260+0.01</f>
        <v>5.1299999999999963</v>
      </c>
      <c r="B261" s="39" t="s">
        <v>87</v>
      </c>
      <c r="C261" s="32">
        <v>1</v>
      </c>
      <c r="D261" s="42" t="s">
        <v>16</v>
      </c>
      <c r="E261" s="74"/>
      <c r="F261" s="32">
        <f t="shared" si="34"/>
        <v>0</v>
      </c>
      <c r="G261" s="43">
        <f>SUM(F243:F261)</f>
        <v>0</v>
      </c>
    </row>
    <row r="262" spans="1:7" ht="15.75" x14ac:dyDescent="0.25">
      <c r="A262" s="79"/>
      <c r="B262" s="39"/>
      <c r="C262" s="32"/>
      <c r="D262" s="42"/>
      <c r="E262" s="74"/>
      <c r="F262" s="32"/>
      <c r="G262" s="43"/>
    </row>
    <row r="263" spans="1:7" ht="15.75" x14ac:dyDescent="0.25">
      <c r="A263" s="118">
        <v>6</v>
      </c>
      <c r="B263" s="119" t="s">
        <v>197</v>
      </c>
      <c r="C263" s="32"/>
      <c r="D263" s="42"/>
      <c r="E263" s="30"/>
      <c r="F263" s="32"/>
      <c r="G263" s="43"/>
    </row>
    <row r="264" spans="1:7" ht="30" x14ac:dyDescent="0.25">
      <c r="A264" s="120">
        <f>A263+0.1</f>
        <v>6.1</v>
      </c>
      <c r="B264" s="121" t="s">
        <v>198</v>
      </c>
      <c r="C264" s="32">
        <v>1</v>
      </c>
      <c r="D264" s="122" t="s">
        <v>8</v>
      </c>
      <c r="E264" s="30"/>
      <c r="F264" s="32">
        <f t="shared" ref="F264:F272" si="35">+C264*E264</f>
        <v>0</v>
      </c>
      <c r="G264" s="43"/>
    </row>
    <row r="265" spans="1:7" ht="15.75" x14ac:dyDescent="0.25">
      <c r="A265" s="120">
        <f t="shared" ref="A265:A272" si="36">A264+0.1</f>
        <v>6.1999999999999993</v>
      </c>
      <c r="B265" s="121" t="s">
        <v>199</v>
      </c>
      <c r="C265" s="32">
        <v>1</v>
      </c>
      <c r="D265" s="122" t="s">
        <v>8</v>
      </c>
      <c r="E265" s="30"/>
      <c r="F265" s="32">
        <f t="shared" si="35"/>
        <v>0</v>
      </c>
      <c r="G265" s="43"/>
    </row>
    <row r="266" spans="1:7" ht="30" x14ac:dyDescent="0.25">
      <c r="A266" s="120">
        <f t="shared" si="36"/>
        <v>6.2999999999999989</v>
      </c>
      <c r="B266" s="121" t="s">
        <v>200</v>
      </c>
      <c r="C266" s="32">
        <v>10</v>
      </c>
      <c r="D266" s="122" t="s">
        <v>8</v>
      </c>
      <c r="E266" s="30"/>
      <c r="F266" s="32">
        <f t="shared" si="35"/>
        <v>0</v>
      </c>
      <c r="G266" s="43"/>
    </row>
    <row r="267" spans="1:7" ht="30" x14ac:dyDescent="0.25">
      <c r="A267" s="120">
        <f t="shared" si="36"/>
        <v>6.3999999999999986</v>
      </c>
      <c r="B267" s="121" t="s">
        <v>201</v>
      </c>
      <c r="C267" s="32">
        <v>1</v>
      </c>
      <c r="D267" s="122" t="s">
        <v>8</v>
      </c>
      <c r="E267" s="30"/>
      <c r="F267" s="32">
        <f t="shared" si="35"/>
        <v>0</v>
      </c>
      <c r="G267" s="43"/>
    </row>
    <row r="268" spans="1:7" ht="30" x14ac:dyDescent="0.25">
      <c r="A268" s="120">
        <f t="shared" si="36"/>
        <v>6.4999999999999982</v>
      </c>
      <c r="B268" s="121" t="s">
        <v>202</v>
      </c>
      <c r="C268" s="32">
        <v>1</v>
      </c>
      <c r="D268" s="122" t="s">
        <v>8</v>
      </c>
      <c r="E268" s="30"/>
      <c r="F268" s="32">
        <f t="shared" si="35"/>
        <v>0</v>
      </c>
      <c r="G268" s="43"/>
    </row>
    <row r="269" spans="1:7" ht="15.75" x14ac:dyDescent="0.25">
      <c r="A269" s="120">
        <f t="shared" si="36"/>
        <v>6.5999999999999979</v>
      </c>
      <c r="B269" s="121" t="s">
        <v>203</v>
      </c>
      <c r="C269" s="32">
        <v>1</v>
      </c>
      <c r="D269" s="122" t="s">
        <v>8</v>
      </c>
      <c r="E269" s="30"/>
      <c r="F269" s="32">
        <f t="shared" si="35"/>
        <v>0</v>
      </c>
      <c r="G269" s="43"/>
    </row>
    <row r="270" spans="1:7" ht="15.75" x14ac:dyDescent="0.25">
      <c r="A270" s="120">
        <f t="shared" si="36"/>
        <v>6.6999999999999975</v>
      </c>
      <c r="B270" s="121" t="s">
        <v>204</v>
      </c>
      <c r="C270" s="32">
        <v>11</v>
      </c>
      <c r="D270" s="122" t="s">
        <v>8</v>
      </c>
      <c r="E270" s="30"/>
      <c r="F270" s="32">
        <f t="shared" si="35"/>
        <v>0</v>
      </c>
      <c r="G270" s="43"/>
    </row>
    <row r="271" spans="1:7" ht="30" x14ac:dyDescent="0.25">
      <c r="A271" s="120">
        <f t="shared" si="36"/>
        <v>6.7999999999999972</v>
      </c>
      <c r="B271" s="121" t="s">
        <v>205</v>
      </c>
      <c r="C271" s="32">
        <v>11</v>
      </c>
      <c r="D271" s="122" t="s">
        <v>8</v>
      </c>
      <c r="E271" s="30"/>
      <c r="F271" s="32">
        <f t="shared" si="35"/>
        <v>0</v>
      </c>
      <c r="G271" s="43"/>
    </row>
    <row r="272" spans="1:7" ht="15.75" x14ac:dyDescent="0.25">
      <c r="A272" s="120">
        <f t="shared" si="36"/>
        <v>6.8999999999999968</v>
      </c>
      <c r="B272" s="121" t="s">
        <v>206</v>
      </c>
      <c r="C272" s="32">
        <v>40</v>
      </c>
      <c r="D272" s="122" t="s">
        <v>207</v>
      </c>
      <c r="E272" s="30"/>
      <c r="F272" s="32">
        <f t="shared" si="35"/>
        <v>0</v>
      </c>
      <c r="G272" s="43"/>
    </row>
    <row r="273" spans="1:7" ht="15.75" x14ac:dyDescent="0.25">
      <c r="A273" s="123">
        <f>+A264</f>
        <v>6.1</v>
      </c>
      <c r="B273" s="124" t="s">
        <v>208</v>
      </c>
      <c r="C273" s="32">
        <v>1</v>
      </c>
      <c r="D273" s="122" t="s">
        <v>8</v>
      </c>
      <c r="E273" s="30"/>
      <c r="F273" s="32">
        <f>+C273*E273</f>
        <v>0</v>
      </c>
      <c r="G273" s="43"/>
    </row>
    <row r="274" spans="1:7" ht="30" x14ac:dyDescent="0.25">
      <c r="A274" s="123">
        <f>+A273+0.01</f>
        <v>6.1099999999999994</v>
      </c>
      <c r="B274" s="124" t="s">
        <v>209</v>
      </c>
      <c r="C274" s="32">
        <v>1</v>
      </c>
      <c r="D274" s="122" t="s">
        <v>8</v>
      </c>
      <c r="E274" s="30"/>
      <c r="F274" s="32">
        <f>+C274*E274</f>
        <v>0</v>
      </c>
      <c r="G274" s="43"/>
    </row>
    <row r="275" spans="1:7" ht="15.75" x14ac:dyDescent="0.25">
      <c r="A275" s="123">
        <f t="shared" ref="A275:A289" si="37">+A274+0.01</f>
        <v>6.1199999999999992</v>
      </c>
      <c r="B275" s="124" t="s">
        <v>210</v>
      </c>
      <c r="C275" s="32">
        <v>1</v>
      </c>
      <c r="D275" s="122" t="s">
        <v>8</v>
      </c>
      <c r="E275" s="30"/>
      <c r="F275" s="32">
        <f t="shared" ref="F275:F289" si="38">+C275*E275</f>
        <v>0</v>
      </c>
      <c r="G275" s="43"/>
    </row>
    <row r="276" spans="1:7" ht="30" x14ac:dyDescent="0.25">
      <c r="A276" s="123">
        <f t="shared" si="37"/>
        <v>6.129999999999999</v>
      </c>
      <c r="B276" s="124" t="s">
        <v>211</v>
      </c>
      <c r="C276" s="32">
        <v>1</v>
      </c>
      <c r="D276" s="122" t="s">
        <v>8</v>
      </c>
      <c r="E276" s="30"/>
      <c r="F276" s="32">
        <f t="shared" si="38"/>
        <v>0</v>
      </c>
      <c r="G276" s="43"/>
    </row>
    <row r="277" spans="1:7" ht="15.75" x14ac:dyDescent="0.25">
      <c r="A277" s="123">
        <f t="shared" si="37"/>
        <v>6.1399999999999988</v>
      </c>
      <c r="B277" s="124" t="s">
        <v>212</v>
      </c>
      <c r="C277" s="32">
        <v>1</v>
      </c>
      <c r="D277" s="122" t="s">
        <v>8</v>
      </c>
      <c r="E277" s="30"/>
      <c r="F277" s="32">
        <f t="shared" si="38"/>
        <v>0</v>
      </c>
      <c r="G277" s="43"/>
    </row>
    <row r="278" spans="1:7" ht="30" x14ac:dyDescent="0.25">
      <c r="A278" s="123">
        <f t="shared" si="37"/>
        <v>6.1499999999999986</v>
      </c>
      <c r="B278" s="124" t="s">
        <v>213</v>
      </c>
      <c r="C278" s="32">
        <v>11</v>
      </c>
      <c r="D278" s="122" t="s">
        <v>8</v>
      </c>
      <c r="E278" s="30"/>
      <c r="F278" s="32">
        <f t="shared" si="38"/>
        <v>0</v>
      </c>
      <c r="G278" s="43"/>
    </row>
    <row r="279" spans="1:7" ht="15.75" x14ac:dyDescent="0.25">
      <c r="A279" s="123">
        <f t="shared" si="37"/>
        <v>6.1599999999999984</v>
      </c>
      <c r="B279" s="124" t="s">
        <v>214</v>
      </c>
      <c r="C279" s="32">
        <v>12</v>
      </c>
      <c r="D279" s="122" t="s">
        <v>8</v>
      </c>
      <c r="E279" s="30"/>
      <c r="F279" s="32">
        <f t="shared" si="38"/>
        <v>0</v>
      </c>
      <c r="G279" s="43"/>
    </row>
    <row r="280" spans="1:7" ht="15.75" x14ac:dyDescent="0.25">
      <c r="A280" s="123">
        <f t="shared" si="37"/>
        <v>6.1699999999999982</v>
      </c>
      <c r="B280" s="124" t="s">
        <v>215</v>
      </c>
      <c r="C280" s="32">
        <v>2</v>
      </c>
      <c r="D280" s="122" t="s">
        <v>8</v>
      </c>
      <c r="E280" s="30"/>
      <c r="F280" s="32">
        <f t="shared" si="38"/>
        <v>0</v>
      </c>
      <c r="G280" s="43"/>
    </row>
    <row r="281" spans="1:7" ht="15.75" x14ac:dyDescent="0.25">
      <c r="A281" s="123">
        <f t="shared" si="37"/>
        <v>6.1799999999999979</v>
      </c>
      <c r="B281" s="124" t="s">
        <v>216</v>
      </c>
      <c r="C281" s="32">
        <v>1</v>
      </c>
      <c r="D281" s="122" t="s">
        <v>8</v>
      </c>
      <c r="E281" s="30"/>
      <c r="F281" s="32">
        <f t="shared" si="38"/>
        <v>0</v>
      </c>
      <c r="G281" s="43"/>
    </row>
    <row r="282" spans="1:7" ht="15.75" x14ac:dyDescent="0.25">
      <c r="A282" s="123">
        <f t="shared" si="37"/>
        <v>6.1899999999999977</v>
      </c>
      <c r="B282" s="124" t="s">
        <v>217</v>
      </c>
      <c r="C282" s="32">
        <v>2</v>
      </c>
      <c r="D282" s="122" t="s">
        <v>8</v>
      </c>
      <c r="E282" s="30"/>
      <c r="F282" s="32">
        <f t="shared" si="38"/>
        <v>0</v>
      </c>
      <c r="G282" s="43"/>
    </row>
    <row r="283" spans="1:7" ht="15.75" x14ac:dyDescent="0.25">
      <c r="A283" s="123">
        <f t="shared" si="37"/>
        <v>6.1999999999999975</v>
      </c>
      <c r="B283" s="124" t="s">
        <v>218</v>
      </c>
      <c r="C283" s="32">
        <v>2</v>
      </c>
      <c r="D283" s="122" t="s">
        <v>8</v>
      </c>
      <c r="E283" s="30"/>
      <c r="F283" s="32">
        <f t="shared" si="38"/>
        <v>0</v>
      </c>
      <c r="G283" s="43"/>
    </row>
    <row r="284" spans="1:7" ht="15.75" x14ac:dyDescent="0.25">
      <c r="A284" s="123">
        <f t="shared" si="37"/>
        <v>6.2099999999999973</v>
      </c>
      <c r="B284" s="124" t="s">
        <v>219</v>
      </c>
      <c r="C284" s="32">
        <v>4</v>
      </c>
      <c r="D284" s="122" t="s">
        <v>8</v>
      </c>
      <c r="E284" s="30"/>
      <c r="F284" s="32">
        <f t="shared" si="38"/>
        <v>0</v>
      </c>
      <c r="G284" s="43"/>
    </row>
    <row r="285" spans="1:7" ht="15.75" x14ac:dyDescent="0.25">
      <c r="A285" s="123">
        <f t="shared" si="37"/>
        <v>6.2199999999999971</v>
      </c>
      <c r="B285" s="124" t="s">
        <v>220</v>
      </c>
      <c r="C285" s="32">
        <v>2</v>
      </c>
      <c r="D285" s="122" t="s">
        <v>8</v>
      </c>
      <c r="E285" s="30"/>
      <c r="F285" s="32">
        <f t="shared" si="38"/>
        <v>0</v>
      </c>
      <c r="G285" s="43"/>
    </row>
    <row r="286" spans="1:7" ht="15.75" x14ac:dyDescent="0.25">
      <c r="A286" s="123">
        <f t="shared" si="37"/>
        <v>6.2299999999999969</v>
      </c>
      <c r="B286" s="124" t="s">
        <v>221</v>
      </c>
      <c r="C286" s="32">
        <v>1</v>
      </c>
      <c r="D286" s="122" t="s">
        <v>8</v>
      </c>
      <c r="E286" s="30"/>
      <c r="F286" s="32">
        <f t="shared" si="38"/>
        <v>0</v>
      </c>
      <c r="G286" s="43"/>
    </row>
    <row r="287" spans="1:7" ht="90" x14ac:dyDescent="0.25">
      <c r="A287" s="123">
        <f t="shared" si="37"/>
        <v>6.2399999999999967</v>
      </c>
      <c r="B287" s="124" t="s">
        <v>222</v>
      </c>
      <c r="C287" s="32">
        <v>1</v>
      </c>
      <c r="D287" s="122" t="s">
        <v>8</v>
      </c>
      <c r="E287" s="30"/>
      <c r="F287" s="32">
        <f t="shared" si="38"/>
        <v>0</v>
      </c>
      <c r="G287" s="43"/>
    </row>
    <row r="288" spans="1:7" ht="15.75" x14ac:dyDescent="0.25">
      <c r="A288" s="123">
        <f t="shared" si="37"/>
        <v>6.2499999999999964</v>
      </c>
      <c r="B288" s="124" t="s">
        <v>223</v>
      </c>
      <c r="C288" s="32">
        <v>1</v>
      </c>
      <c r="D288" s="42" t="s">
        <v>102</v>
      </c>
      <c r="E288" s="30"/>
      <c r="F288" s="32">
        <f>+C288*E288</f>
        <v>0</v>
      </c>
      <c r="G288" s="43"/>
    </row>
    <row r="289" spans="1:7" ht="15.75" x14ac:dyDescent="0.25">
      <c r="A289" s="123">
        <f t="shared" si="37"/>
        <v>6.2599999999999962</v>
      </c>
      <c r="B289" s="124" t="s">
        <v>224</v>
      </c>
      <c r="C289" s="32">
        <v>1</v>
      </c>
      <c r="D289" s="42" t="s">
        <v>102</v>
      </c>
      <c r="E289" s="30"/>
      <c r="F289" s="32">
        <f t="shared" si="38"/>
        <v>0</v>
      </c>
      <c r="G289" s="43">
        <f>SUM(F264:F289)</f>
        <v>0</v>
      </c>
    </row>
    <row r="290" spans="1:7" ht="15.75" x14ac:dyDescent="0.25">
      <c r="A290" s="79"/>
      <c r="B290" s="39"/>
      <c r="C290" s="32"/>
      <c r="D290" s="95"/>
      <c r="E290" s="74"/>
      <c r="F290" s="32"/>
      <c r="G290" s="96"/>
    </row>
    <row r="291" spans="1:7" ht="15.75" x14ac:dyDescent="0.25">
      <c r="A291" s="35">
        <v>7</v>
      </c>
      <c r="B291" s="36" t="s">
        <v>93</v>
      </c>
      <c r="C291" s="81">
        <v>1</v>
      </c>
      <c r="D291" s="85" t="s">
        <v>16</v>
      </c>
      <c r="E291" s="83"/>
      <c r="F291" s="83">
        <f>E291*C291</f>
        <v>0</v>
      </c>
      <c r="G291" s="86">
        <f>SUM(F291)</f>
        <v>0</v>
      </c>
    </row>
    <row r="292" spans="1:7" ht="15.75" x14ac:dyDescent="0.25">
      <c r="A292" s="38"/>
      <c r="B292" s="39"/>
      <c r="C292" s="81"/>
      <c r="D292" s="85"/>
      <c r="E292" s="83"/>
      <c r="F292" s="83"/>
      <c r="G292" s="86"/>
    </row>
    <row r="293" spans="1:7" ht="15.75" x14ac:dyDescent="0.25">
      <c r="A293" s="35">
        <v>8</v>
      </c>
      <c r="B293" s="36" t="s">
        <v>94</v>
      </c>
      <c r="C293" s="81">
        <v>1</v>
      </c>
      <c r="D293" s="85" t="s">
        <v>16</v>
      </c>
      <c r="E293" s="83"/>
      <c r="F293" s="83">
        <f>E293*C293</f>
        <v>0</v>
      </c>
      <c r="G293" s="86">
        <f>SUM(F293)</f>
        <v>0</v>
      </c>
    </row>
    <row r="294" spans="1:7" ht="16.5" thickBot="1" x14ac:dyDescent="0.3">
      <c r="A294" s="38"/>
      <c r="B294" s="39"/>
      <c r="C294" s="81"/>
      <c r="D294" s="85"/>
      <c r="E294" s="83"/>
      <c r="F294" s="83"/>
      <c r="G294" s="86"/>
    </row>
    <row r="295" spans="1:7" ht="17.25" thickTop="1" thickBot="1" x14ac:dyDescent="0.3">
      <c r="A295" s="88"/>
      <c r="B295" s="89" t="s">
        <v>225</v>
      </c>
      <c r="C295" s="90"/>
      <c r="D295" s="91"/>
      <c r="E295" s="90"/>
      <c r="F295" s="92"/>
      <c r="G295" s="93">
        <f>SUM(G160:G293)</f>
        <v>0</v>
      </c>
    </row>
    <row r="296" spans="1:7" ht="17.25" thickTop="1" thickBot="1" x14ac:dyDescent="0.3">
      <c r="A296" s="88"/>
      <c r="B296" s="89" t="s">
        <v>226</v>
      </c>
      <c r="C296" s="90"/>
      <c r="D296" s="91"/>
      <c r="E296" s="90"/>
      <c r="F296" s="92"/>
      <c r="G296" s="93">
        <f>G295+G153+G84</f>
        <v>0</v>
      </c>
    </row>
    <row r="297" spans="1:7" ht="17.25" thickTop="1" thickBot="1" x14ac:dyDescent="0.3">
      <c r="A297" s="125"/>
      <c r="B297" s="126" t="s">
        <v>227</v>
      </c>
      <c r="C297" s="127"/>
      <c r="D297" s="128"/>
      <c r="E297" s="127"/>
      <c r="F297" s="127"/>
      <c r="G297" s="129">
        <f>SUM(G296)</f>
        <v>0</v>
      </c>
    </row>
    <row r="298" spans="1:7" ht="16.5" thickTop="1" x14ac:dyDescent="0.25">
      <c r="A298" s="130"/>
      <c r="B298" s="131"/>
      <c r="C298" s="132"/>
      <c r="D298" s="133"/>
      <c r="E298" s="132"/>
      <c r="F298" s="132"/>
      <c r="G298" s="134"/>
    </row>
    <row r="299" spans="1:7" ht="15.75" x14ac:dyDescent="0.25">
      <c r="A299" s="135"/>
      <c r="B299" s="136" t="s">
        <v>228</v>
      </c>
      <c r="C299" s="137"/>
      <c r="D299" s="138">
        <v>0.1</v>
      </c>
      <c r="E299" s="139"/>
      <c r="F299" s="139">
        <f>D299*G297</f>
        <v>0</v>
      </c>
      <c r="G299" s="140"/>
    </row>
    <row r="300" spans="1:7" ht="15.75" x14ac:dyDescent="0.25">
      <c r="A300" s="135"/>
      <c r="B300" s="136" t="s">
        <v>229</v>
      </c>
      <c r="C300" s="137"/>
      <c r="D300" s="138">
        <v>2.5000000000000001E-2</v>
      </c>
      <c r="E300" s="139"/>
      <c r="F300" s="139">
        <f>D300*G297</f>
        <v>0</v>
      </c>
      <c r="G300" s="140"/>
    </row>
    <row r="301" spans="1:7" ht="15.75" x14ac:dyDescent="0.25">
      <c r="A301" s="135"/>
      <c r="B301" s="136" t="s">
        <v>230</v>
      </c>
      <c r="C301" s="137"/>
      <c r="D301" s="138">
        <v>5.3499999999999999E-2</v>
      </c>
      <c r="E301" s="139"/>
      <c r="F301" s="139">
        <f>D301*G297</f>
        <v>0</v>
      </c>
      <c r="G301" s="140"/>
    </row>
    <row r="302" spans="1:7" ht="15.75" x14ac:dyDescent="0.25">
      <c r="A302" s="135"/>
      <c r="B302" s="136" t="s">
        <v>231</v>
      </c>
      <c r="C302" s="137"/>
      <c r="D302" s="138">
        <v>3.5000000000000003E-2</v>
      </c>
      <c r="E302" s="139"/>
      <c r="F302" s="139">
        <f>D302*G297</f>
        <v>0</v>
      </c>
      <c r="G302" s="140"/>
    </row>
    <row r="303" spans="1:7" ht="15.75" x14ac:dyDescent="0.25">
      <c r="A303" s="135"/>
      <c r="B303" s="136" t="s">
        <v>232</v>
      </c>
      <c r="C303" s="137"/>
      <c r="D303" s="138">
        <v>0.01</v>
      </c>
      <c r="E303" s="139"/>
      <c r="F303" s="139">
        <f>D303*G297</f>
        <v>0</v>
      </c>
      <c r="G303" s="140"/>
    </row>
    <row r="304" spans="1:7" ht="15.75" x14ac:dyDescent="0.25">
      <c r="A304" s="135"/>
      <c r="B304" s="136" t="s">
        <v>233</v>
      </c>
      <c r="C304" s="137"/>
      <c r="D304" s="138">
        <v>0.05</v>
      </c>
      <c r="E304" s="139"/>
      <c r="F304" s="139">
        <f>D304*G297</f>
        <v>0</v>
      </c>
      <c r="G304" s="140"/>
    </row>
    <row r="305" spans="1:7" ht="16.5" thickBot="1" x14ac:dyDescent="0.3">
      <c r="A305" s="135"/>
      <c r="B305" s="136"/>
      <c r="C305" s="137"/>
      <c r="D305" s="141"/>
      <c r="E305" s="139"/>
      <c r="F305" s="139"/>
      <c r="G305" s="142"/>
    </row>
    <row r="306" spans="1:7" ht="17.25" thickTop="1" thickBot="1" x14ac:dyDescent="0.3">
      <c r="A306" s="143"/>
      <c r="B306" s="144" t="s">
        <v>234</v>
      </c>
      <c r="C306" s="145"/>
      <c r="D306" s="146"/>
      <c r="E306" s="147"/>
      <c r="F306" s="147"/>
      <c r="G306" s="148">
        <f>SUM(F299:F304)</f>
        <v>0</v>
      </c>
    </row>
    <row r="307" spans="1:7" ht="17.25" thickTop="1" thickBot="1" x14ac:dyDescent="0.3">
      <c r="A307" s="149"/>
      <c r="B307" s="150"/>
      <c r="C307" s="151"/>
      <c r="D307" s="152"/>
      <c r="E307" s="153"/>
      <c r="F307" s="153"/>
      <c r="G307" s="154"/>
    </row>
    <row r="308" spans="1:7" ht="17.25" thickTop="1" thickBot="1" x14ac:dyDescent="0.3">
      <c r="A308" s="143"/>
      <c r="B308" s="144" t="s">
        <v>235</v>
      </c>
      <c r="C308" s="145"/>
      <c r="D308" s="146"/>
      <c r="E308" s="147"/>
      <c r="F308" s="147"/>
      <c r="G308" s="148">
        <f>+G306+G297</f>
        <v>0</v>
      </c>
    </row>
    <row r="309" spans="1:7" ht="17.25" thickTop="1" thickBot="1" x14ac:dyDescent="0.3">
      <c r="A309" s="149"/>
      <c r="B309" s="150"/>
      <c r="C309" s="151"/>
      <c r="D309" s="152"/>
      <c r="E309" s="153"/>
      <c r="F309" s="153"/>
      <c r="G309" s="154"/>
    </row>
    <row r="310" spans="1:7" ht="17.25" thickTop="1" thickBot="1" x14ac:dyDescent="0.3">
      <c r="A310" s="143"/>
      <c r="B310" s="144" t="s">
        <v>236</v>
      </c>
      <c r="C310" s="145"/>
      <c r="D310" s="155">
        <v>0.03</v>
      </c>
      <c r="E310" s="147"/>
      <c r="F310" s="147"/>
      <c r="G310" s="148">
        <f>+G306*D310</f>
        <v>0</v>
      </c>
    </row>
    <row r="311" spans="1:7" ht="17.25" thickTop="1" thickBot="1" x14ac:dyDescent="0.3">
      <c r="A311" s="149"/>
      <c r="B311" s="150"/>
      <c r="C311" s="151"/>
      <c r="D311" s="156"/>
      <c r="E311" s="153"/>
      <c r="F311" s="153"/>
      <c r="G311" s="154"/>
    </row>
    <row r="312" spans="1:7" ht="17.25" thickTop="1" thickBot="1" x14ac:dyDescent="0.3">
      <c r="A312" s="143"/>
      <c r="B312" s="144" t="s">
        <v>237</v>
      </c>
      <c r="C312" s="145"/>
      <c r="D312" s="155">
        <v>0.06</v>
      </c>
      <c r="E312" s="147"/>
      <c r="F312" s="147"/>
      <c r="G312" s="148">
        <f>D312*G297</f>
        <v>0</v>
      </c>
    </row>
    <row r="313" spans="1:7" ht="17.25" thickTop="1" thickBot="1" x14ac:dyDescent="0.3">
      <c r="A313" s="149"/>
      <c r="B313" s="150"/>
      <c r="C313" s="151"/>
      <c r="D313" s="156"/>
      <c r="E313" s="153"/>
      <c r="F313" s="153"/>
      <c r="G313" s="154"/>
    </row>
    <row r="314" spans="1:7" ht="17.25" thickTop="1" thickBot="1" x14ac:dyDescent="0.3">
      <c r="A314" s="143"/>
      <c r="B314" s="144" t="s">
        <v>238</v>
      </c>
      <c r="C314" s="145"/>
      <c r="D314" s="155">
        <v>0.05</v>
      </c>
      <c r="E314" s="147"/>
      <c r="F314" s="147"/>
      <c r="G314" s="148">
        <f>+G308*D314</f>
        <v>0</v>
      </c>
    </row>
    <row r="315" spans="1:7" ht="17.25" thickTop="1" thickBot="1" x14ac:dyDescent="0.3">
      <c r="A315" s="149"/>
      <c r="B315" s="150"/>
      <c r="C315" s="151"/>
      <c r="D315" s="152"/>
      <c r="E315" s="153"/>
      <c r="F315" s="153"/>
      <c r="G315" s="154"/>
    </row>
    <row r="316" spans="1:7" ht="17.25" thickTop="1" thickBot="1" x14ac:dyDescent="0.3">
      <c r="A316" s="157"/>
      <c r="B316" s="158" t="s">
        <v>239</v>
      </c>
      <c r="C316" s="159"/>
      <c r="D316" s="160"/>
      <c r="E316" s="161"/>
      <c r="F316" s="161"/>
      <c r="G316" s="162">
        <f>+G314+G312+G308+G310</f>
        <v>0</v>
      </c>
    </row>
    <row r="317" spans="1:7" ht="16.5" thickTop="1" x14ac:dyDescent="0.25">
      <c r="A317" s="163"/>
      <c r="B317" s="164"/>
      <c r="C317" s="165"/>
      <c r="D317" s="166"/>
      <c r="E317" s="165"/>
      <c r="F317" s="167"/>
      <c r="G317" s="168"/>
    </row>
    <row r="318" spans="1:7" ht="15.75" x14ac:dyDescent="0.25">
      <c r="A318" s="169"/>
      <c r="B318" s="170" t="s">
        <v>240</v>
      </c>
      <c r="C318" s="171"/>
      <c r="D318" s="172"/>
      <c r="E318" s="173"/>
      <c r="F318" s="171" t="s">
        <v>241</v>
      </c>
      <c r="G318" s="174"/>
    </row>
    <row r="319" spans="1:7" ht="15.75" x14ac:dyDescent="0.25">
      <c r="A319" s="169"/>
      <c r="B319" s="170"/>
      <c r="C319" s="171"/>
      <c r="D319" s="172"/>
      <c r="E319" s="173"/>
      <c r="F319" s="171"/>
      <c r="G319" s="174"/>
    </row>
    <row r="320" spans="1:7" ht="15.75" x14ac:dyDescent="0.25">
      <c r="A320" s="163"/>
      <c r="B320" s="164"/>
      <c r="C320" s="165"/>
      <c r="D320" s="166"/>
      <c r="E320" s="173"/>
      <c r="F320" s="165"/>
      <c r="G320" s="168"/>
    </row>
    <row r="321" spans="1:7" ht="15.75" x14ac:dyDescent="0.25">
      <c r="A321" s="163"/>
      <c r="B321" s="164" t="s">
        <v>242</v>
      </c>
      <c r="C321" s="165"/>
      <c r="D321" s="166"/>
      <c r="E321" s="173"/>
      <c r="F321" s="165" t="s">
        <v>242</v>
      </c>
      <c r="G321" s="168"/>
    </row>
  </sheetData>
  <mergeCells count="3">
    <mergeCell ref="A4:G4"/>
    <mergeCell ref="A5:G5"/>
    <mergeCell ref="A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Lote 25</vt:lpstr>
      <vt:lpstr>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</dc:creator>
  <cp:lastModifiedBy>Abelardo Reyes</cp:lastModifiedBy>
  <dcterms:created xsi:type="dcterms:W3CDTF">2015-10-03T14:43:06Z</dcterms:created>
  <dcterms:modified xsi:type="dcterms:W3CDTF">2015-10-03T15:50:06Z</dcterms:modified>
</cp:coreProperties>
</file>