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emergencia\Arroyo Manzano fase A\"/>
    </mc:Choice>
  </mc:AlternateContent>
  <xr:revisionPtr revIDLastSave="0" documentId="13_ncr:1_{9A88D853-70EF-44C7-8838-5DC295679FD1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ABLA SANITARIA FASE B" sheetId="14" state="hidden" r:id="rId1"/>
    <sheet name="TABLA SANITARIA FASE A" sheetId="13" state="hidden" r:id="rId2"/>
    <sheet name="PRESUPUESTO FASE B" sheetId="12" state="hidden" r:id="rId3"/>
    <sheet name="PRESUPUESTO FASE A" sheetId="11" r:id="rId4"/>
    <sheet name="PRESUPUESTO " sheetId="8" state="hidden" r:id="rId5"/>
    <sheet name="TABLA SANITARIA" sheetId="2" state="hidden" r:id="rId6"/>
    <sheet name="ANALISIS DE COSTOS" sheetId="9" state="hidden" r:id="rId7"/>
    <sheet name="ANALISIS DE ACERO" sheetId="7" state="hidden" r:id="rId8"/>
    <sheet name="Hoja1" sheetId="10" state="hidden" r:id="rId9"/>
  </sheets>
  <externalReferences>
    <externalReference r:id="rId10"/>
  </externalReferences>
  <definedNames>
    <definedName name="GASOLINA">[1]Ins!$E$582</definedName>
    <definedName name="Imprimir_área_IM" localSheetId="4">'PRESUPUESTO '!#REF!</definedName>
    <definedName name="Imprimir_área_IM" localSheetId="3">'PRESUPUESTO FASE A'!#REF!</definedName>
    <definedName name="Imprimir_área_IM" localSheetId="2">'PRESUPUESTO FASE B'!#REF!</definedName>
    <definedName name="Imprimir_área_IM" localSheetId="5">'TABLA SANITARIA'!#REF!</definedName>
    <definedName name="Imprimir_área_IM" localSheetId="1">'TABLA SANITARIA FASE A'!#REF!</definedName>
    <definedName name="Imprimir_área_IM" localSheetId="0">'TABLA SANITARIA FASE B'!#REF!</definedName>
    <definedName name="Imprimir_títulos_IM" localSheetId="4">'PRESUPUESTO '!$1:$7</definedName>
    <definedName name="Imprimir_títulos_IM" localSheetId="3">'PRESUPUESTO FASE A'!$1:$6</definedName>
    <definedName name="Imprimir_títulos_IM" localSheetId="2">'PRESUPUESTO FASE B'!$1:$7</definedName>
    <definedName name="Imprimir_títulos_IM" localSheetId="5">'TABLA SANITARIA'!$1:$4</definedName>
    <definedName name="Imprimir_títulos_IM" localSheetId="1">'TABLA SANITARIA FASE A'!$1:$4</definedName>
    <definedName name="Imprimir_títulos_IM" localSheetId="0">'TABLA SANITARIA FASE B'!$1:$4</definedName>
    <definedName name="PLIGADORA2">[1]Ins!$E$584</definedName>
    <definedName name="_xlnm.Print_Area" localSheetId="7">'ANALISIS DE ACERO'!$A$1:$I$315</definedName>
    <definedName name="_xlnm.Print_Area" localSheetId="6">'ANALISIS DE COSTOS'!$A$1:$F$796</definedName>
    <definedName name="_xlnm.Print_Area" localSheetId="4">'PRESUPUESTO '!$A$1:$G$163</definedName>
    <definedName name="_xlnm.Print_Area" localSheetId="3">'PRESUPUESTO FASE A'!$A$1:$G$127</definedName>
    <definedName name="_xlnm.Print_Area" localSheetId="2">'PRESUPUESTO FASE B'!$A$1:$G$134</definedName>
    <definedName name="_xlnm.Print_Area" localSheetId="5">'TABLA SANITARIA'!$A$38:$G$41</definedName>
    <definedName name="_xlnm.Print_Area" localSheetId="1">'TABLA SANITARIA FASE A'!$A$38:$G$41</definedName>
    <definedName name="_xlnm.Print_Area" localSheetId="0">'TABLA SANITARIA FASE B'!$A$38:$G$41</definedName>
    <definedName name="_xlnm.Print_Titles" localSheetId="4">'PRESUPUESTO '!$1:$9</definedName>
    <definedName name="_xlnm.Print_Titles" localSheetId="3">'PRESUPUESTO FASE A'!$1:$8</definedName>
    <definedName name="_xlnm.Print_Titles" localSheetId="2">'PRESUPUESTO FASE B'!$1:$9</definedName>
    <definedName name="_xlnm.Print_Titles" localSheetId="5">'TABLA SANITARIA'!$1:$4</definedName>
    <definedName name="_xlnm.Print_Titles" localSheetId="1">'TABLA SANITARIA FASE A'!$1:$4</definedName>
    <definedName name="_xlnm.Print_Titles" localSheetId="0">'TABLA SANITARIA FASE B'!$1:$4</definedName>
    <definedName name="PWINCHE2000K">[1]Ins!$E$592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2" l="1"/>
  <c r="E40" i="12"/>
  <c r="E39" i="12"/>
  <c r="E45" i="12"/>
  <c r="C45" i="12"/>
  <c r="F45" i="12" s="1"/>
  <c r="C44" i="12"/>
  <c r="F44" i="12" s="1"/>
  <c r="C43" i="12"/>
  <c r="F43" i="12" s="1"/>
  <c r="C42" i="12"/>
  <c r="F42" i="12" s="1"/>
  <c r="C41" i="12"/>
  <c r="F41" i="12" s="1"/>
  <c r="C40" i="12"/>
  <c r="F40" i="12" s="1"/>
  <c r="C39" i="12"/>
  <c r="C38" i="12"/>
  <c r="F38" i="12" s="1"/>
  <c r="A38" i="12"/>
  <c r="A39" i="12" s="1"/>
  <c r="A40" i="12" s="1"/>
  <c r="A41" i="12" s="1"/>
  <c r="A42" i="12" s="1"/>
  <c r="A43" i="12" s="1"/>
  <c r="A44" i="12" s="1"/>
  <c r="A45" i="12" s="1"/>
  <c r="E83" i="12"/>
  <c r="C59" i="12"/>
  <c r="C29" i="12"/>
  <c r="C27" i="12"/>
  <c r="C26" i="12"/>
  <c r="C28" i="12" s="1"/>
  <c r="C25" i="12"/>
  <c r="C24" i="12"/>
  <c r="C32" i="12"/>
  <c r="A35" i="12"/>
  <c r="A32" i="12"/>
  <c r="N100" i="14"/>
  <c r="F101" i="13"/>
  <c r="D129" i="14"/>
  <c r="D130" i="14" s="1"/>
  <c r="U123" i="14"/>
  <c r="T123" i="14"/>
  <c r="H123" i="14"/>
  <c r="G123" i="14"/>
  <c r="D118" i="14"/>
  <c r="D115" i="14"/>
  <c r="D112" i="14"/>
  <c r="D109" i="14"/>
  <c r="G113" i="14" s="1"/>
  <c r="H113" i="14" s="1"/>
  <c r="R105" i="14"/>
  <c r="O104" i="14"/>
  <c r="Q104" i="14" s="1"/>
  <c r="N104" i="14"/>
  <c r="M104" i="14"/>
  <c r="U103" i="14"/>
  <c r="O103" i="14"/>
  <c r="M103" i="14"/>
  <c r="J103" i="14"/>
  <c r="I103" i="14"/>
  <c r="U102" i="14"/>
  <c r="O102" i="14"/>
  <c r="M102" i="14"/>
  <c r="J102" i="14"/>
  <c r="I102" i="14"/>
  <c r="O100" i="14"/>
  <c r="O109" i="14" s="1"/>
  <c r="J100" i="14"/>
  <c r="I100" i="14"/>
  <c r="U100" i="14"/>
  <c r="U98" i="14"/>
  <c r="O98" i="14"/>
  <c r="Q98" i="14" s="1"/>
  <c r="N98" i="14"/>
  <c r="S98" i="14" s="1"/>
  <c r="J98" i="14"/>
  <c r="I98" i="14"/>
  <c r="K98" i="14" s="1"/>
  <c r="M98" i="14" s="1"/>
  <c r="P98" i="14" s="1"/>
  <c r="U97" i="14"/>
  <c r="O97" i="14"/>
  <c r="Q97" i="14" s="1"/>
  <c r="N97" i="14"/>
  <c r="J97" i="14"/>
  <c r="I97" i="14"/>
  <c r="K97" i="14" s="1"/>
  <c r="M97" i="14" s="1"/>
  <c r="U96" i="14"/>
  <c r="O96" i="14"/>
  <c r="Q96" i="14" s="1"/>
  <c r="N96" i="14"/>
  <c r="J96" i="14"/>
  <c r="I96" i="14"/>
  <c r="K96" i="14" s="1"/>
  <c r="M96" i="14" s="1"/>
  <c r="U95" i="14"/>
  <c r="O95" i="14"/>
  <c r="N95" i="14"/>
  <c r="J95" i="14"/>
  <c r="I95" i="14"/>
  <c r="K95" i="14" s="1"/>
  <c r="M95" i="14" s="1"/>
  <c r="U94" i="14"/>
  <c r="O94" i="14"/>
  <c r="Q94" i="14" s="1"/>
  <c r="N94" i="14"/>
  <c r="J94" i="14"/>
  <c r="I94" i="14"/>
  <c r="K94" i="14" s="1"/>
  <c r="M94" i="14" s="1"/>
  <c r="P94" i="14" s="1"/>
  <c r="U93" i="14"/>
  <c r="O93" i="14"/>
  <c r="Q93" i="14" s="1"/>
  <c r="N93" i="14"/>
  <c r="J93" i="14"/>
  <c r="I93" i="14"/>
  <c r="U92" i="14"/>
  <c r="O92" i="14"/>
  <c r="Q92" i="14" s="1"/>
  <c r="N92" i="14"/>
  <c r="J92" i="14"/>
  <c r="I92" i="14"/>
  <c r="K92" i="14" s="1"/>
  <c r="M92" i="14" s="1"/>
  <c r="U91" i="14"/>
  <c r="O91" i="14"/>
  <c r="Q91" i="14" s="1"/>
  <c r="N91" i="14"/>
  <c r="J91" i="14"/>
  <c r="I91" i="14"/>
  <c r="U90" i="14"/>
  <c r="O90" i="14"/>
  <c r="Q90" i="14" s="1"/>
  <c r="N90" i="14"/>
  <c r="J90" i="14"/>
  <c r="I90" i="14"/>
  <c r="U89" i="14"/>
  <c r="O89" i="14"/>
  <c r="N89" i="14"/>
  <c r="J89" i="14"/>
  <c r="I89" i="14"/>
  <c r="K89" i="14" s="1"/>
  <c r="M89" i="14" s="1"/>
  <c r="U88" i="14"/>
  <c r="O88" i="14"/>
  <c r="Q88" i="14" s="1"/>
  <c r="N88" i="14"/>
  <c r="K88" i="14"/>
  <c r="M88" i="14" s="1"/>
  <c r="P88" i="14" s="1"/>
  <c r="J88" i="14"/>
  <c r="I88" i="14"/>
  <c r="U87" i="14"/>
  <c r="O87" i="14"/>
  <c r="Q87" i="14" s="1"/>
  <c r="N87" i="14"/>
  <c r="J87" i="14"/>
  <c r="K87" i="14" s="1"/>
  <c r="M87" i="14" s="1"/>
  <c r="I87" i="14"/>
  <c r="U86" i="14"/>
  <c r="O86" i="14"/>
  <c r="Q86" i="14" s="1"/>
  <c r="N86" i="14"/>
  <c r="J86" i="14"/>
  <c r="I86" i="14"/>
  <c r="K86" i="14" s="1"/>
  <c r="M86" i="14" s="1"/>
  <c r="P86" i="14" s="1"/>
  <c r="U85" i="14"/>
  <c r="O85" i="14"/>
  <c r="Q85" i="14" s="1"/>
  <c r="N85" i="14"/>
  <c r="J85" i="14"/>
  <c r="I85" i="14"/>
  <c r="U84" i="14"/>
  <c r="O84" i="14"/>
  <c r="Q84" i="14" s="1"/>
  <c r="N84" i="14"/>
  <c r="J84" i="14"/>
  <c r="I84" i="14"/>
  <c r="K84" i="14" s="1"/>
  <c r="M84" i="14" s="1"/>
  <c r="P84" i="14" s="1"/>
  <c r="U83" i="14"/>
  <c r="O83" i="14"/>
  <c r="N83" i="14"/>
  <c r="J83" i="14"/>
  <c r="I83" i="14"/>
  <c r="K83" i="14" s="1"/>
  <c r="M83" i="14" s="1"/>
  <c r="U82" i="14"/>
  <c r="O82" i="14"/>
  <c r="Q82" i="14" s="1"/>
  <c r="N82" i="14"/>
  <c r="J82" i="14"/>
  <c r="I82" i="14"/>
  <c r="K82" i="14" s="1"/>
  <c r="M82" i="14" s="1"/>
  <c r="U81" i="14"/>
  <c r="O81" i="14"/>
  <c r="Q81" i="14" s="1"/>
  <c r="N81" i="14"/>
  <c r="S81" i="14" s="1"/>
  <c r="J81" i="14"/>
  <c r="I81" i="14"/>
  <c r="U80" i="14"/>
  <c r="O80" i="14"/>
  <c r="Q80" i="14" s="1"/>
  <c r="N80" i="14"/>
  <c r="J80" i="14"/>
  <c r="I80" i="14"/>
  <c r="K80" i="14" s="1"/>
  <c r="M80" i="14" s="1"/>
  <c r="P80" i="14" s="1"/>
  <c r="U79" i="14"/>
  <c r="O79" i="14"/>
  <c r="Q79" i="14" s="1"/>
  <c r="N79" i="14"/>
  <c r="J79" i="14"/>
  <c r="I79" i="14"/>
  <c r="K79" i="14" s="1"/>
  <c r="M79" i="14" s="1"/>
  <c r="U78" i="14"/>
  <c r="Q78" i="14"/>
  <c r="S78" i="14" s="1"/>
  <c r="O78" i="14"/>
  <c r="N78" i="14"/>
  <c r="J78" i="14"/>
  <c r="I78" i="14"/>
  <c r="K78" i="14" s="1"/>
  <c r="M78" i="14" s="1"/>
  <c r="U77" i="14"/>
  <c r="O77" i="14"/>
  <c r="N77" i="14"/>
  <c r="J77" i="14"/>
  <c r="I77" i="14"/>
  <c r="U76" i="14"/>
  <c r="O76" i="14"/>
  <c r="Q76" i="14" s="1"/>
  <c r="N76" i="14"/>
  <c r="S76" i="14" s="1"/>
  <c r="K76" i="14"/>
  <c r="M76" i="14" s="1"/>
  <c r="J76" i="14"/>
  <c r="I76" i="14"/>
  <c r="U75" i="14"/>
  <c r="O75" i="14"/>
  <c r="Q75" i="14" s="1"/>
  <c r="N75" i="14"/>
  <c r="S75" i="14" s="1"/>
  <c r="J75" i="14"/>
  <c r="K75" i="14" s="1"/>
  <c r="M75" i="14" s="1"/>
  <c r="P75" i="14" s="1"/>
  <c r="I75" i="14"/>
  <c r="U74" i="14"/>
  <c r="O74" i="14"/>
  <c r="Q74" i="14" s="1"/>
  <c r="N74" i="14"/>
  <c r="S74" i="14" s="1"/>
  <c r="J74" i="14"/>
  <c r="I74" i="14"/>
  <c r="K74" i="14" s="1"/>
  <c r="M74" i="14" s="1"/>
  <c r="U73" i="14"/>
  <c r="O73" i="14"/>
  <c r="Q73" i="14" s="1"/>
  <c r="N73" i="14"/>
  <c r="J73" i="14"/>
  <c r="I73" i="14"/>
  <c r="K73" i="14" s="1"/>
  <c r="M73" i="14" s="1"/>
  <c r="P73" i="14" s="1"/>
  <c r="U72" i="14"/>
  <c r="O72" i="14"/>
  <c r="Q72" i="14" s="1"/>
  <c r="N72" i="14"/>
  <c r="J72" i="14"/>
  <c r="I72" i="14"/>
  <c r="K72" i="14" s="1"/>
  <c r="M72" i="14" s="1"/>
  <c r="U71" i="14"/>
  <c r="O71" i="14"/>
  <c r="N71" i="14"/>
  <c r="J71" i="14"/>
  <c r="I71" i="14"/>
  <c r="K71" i="14" s="1"/>
  <c r="M71" i="14" s="1"/>
  <c r="P71" i="14" s="1"/>
  <c r="U70" i="14"/>
  <c r="O70" i="14"/>
  <c r="Q70" i="14" s="1"/>
  <c r="N70" i="14"/>
  <c r="S70" i="14" s="1"/>
  <c r="K70" i="14"/>
  <c r="M70" i="14" s="1"/>
  <c r="P70" i="14" s="1"/>
  <c r="J70" i="14"/>
  <c r="I70" i="14"/>
  <c r="U69" i="14"/>
  <c r="O69" i="14"/>
  <c r="Q69" i="14" s="1"/>
  <c r="N69" i="14"/>
  <c r="J69" i="14"/>
  <c r="I69" i="14"/>
  <c r="U68" i="14"/>
  <c r="O68" i="14"/>
  <c r="Q68" i="14" s="1"/>
  <c r="N68" i="14"/>
  <c r="S68" i="14" s="1"/>
  <c r="J68" i="14"/>
  <c r="I68" i="14"/>
  <c r="K68" i="14" s="1"/>
  <c r="M68" i="14" s="1"/>
  <c r="P68" i="14" s="1"/>
  <c r="U67" i="14"/>
  <c r="O67" i="14"/>
  <c r="Q67" i="14" s="1"/>
  <c r="N67" i="14"/>
  <c r="J67" i="14"/>
  <c r="I67" i="14"/>
  <c r="K67" i="14" s="1"/>
  <c r="M67" i="14" s="1"/>
  <c r="U66" i="14"/>
  <c r="O66" i="14"/>
  <c r="Q66" i="14" s="1"/>
  <c r="N66" i="14"/>
  <c r="J66" i="14"/>
  <c r="I66" i="14"/>
  <c r="K66" i="14" s="1"/>
  <c r="M66" i="14" s="1"/>
  <c r="P66" i="14" s="1"/>
  <c r="U65" i="14"/>
  <c r="O65" i="14"/>
  <c r="N65" i="14"/>
  <c r="J65" i="14"/>
  <c r="I65" i="14"/>
  <c r="K65" i="14" s="1"/>
  <c r="M65" i="14" s="1"/>
  <c r="U64" i="14"/>
  <c r="O64" i="14"/>
  <c r="Q64" i="14" s="1"/>
  <c r="N64" i="14"/>
  <c r="S64" i="14" s="1"/>
  <c r="J64" i="14"/>
  <c r="I64" i="14"/>
  <c r="K64" i="14" s="1"/>
  <c r="M64" i="14" s="1"/>
  <c r="P64" i="14" s="1"/>
  <c r="U63" i="14"/>
  <c r="O63" i="14"/>
  <c r="Q63" i="14" s="1"/>
  <c r="N63" i="14"/>
  <c r="J63" i="14"/>
  <c r="I63" i="14"/>
  <c r="U62" i="14"/>
  <c r="O62" i="14"/>
  <c r="Q62" i="14" s="1"/>
  <c r="N62" i="14"/>
  <c r="J62" i="14"/>
  <c r="I62" i="14"/>
  <c r="K62" i="14" s="1"/>
  <c r="M62" i="14" s="1"/>
  <c r="U61" i="14"/>
  <c r="O61" i="14"/>
  <c r="Q61" i="14" s="1"/>
  <c r="N61" i="14"/>
  <c r="J61" i="14"/>
  <c r="I61" i="14"/>
  <c r="K61" i="14" s="1"/>
  <c r="M61" i="14" s="1"/>
  <c r="U60" i="14"/>
  <c r="O60" i="14"/>
  <c r="Q60" i="14" s="1"/>
  <c r="N60" i="14"/>
  <c r="J60" i="14"/>
  <c r="I60" i="14"/>
  <c r="K60" i="14" s="1"/>
  <c r="M60" i="14" s="1"/>
  <c r="U59" i="14"/>
  <c r="O59" i="14"/>
  <c r="N59" i="14"/>
  <c r="J59" i="14"/>
  <c r="I59" i="14"/>
  <c r="U58" i="14"/>
  <c r="O58" i="14"/>
  <c r="Q58" i="14" s="1"/>
  <c r="N58" i="14"/>
  <c r="S58" i="14" s="1"/>
  <c r="K58" i="14"/>
  <c r="M58" i="14" s="1"/>
  <c r="P58" i="14" s="1"/>
  <c r="J58" i="14"/>
  <c r="I58" i="14"/>
  <c r="U57" i="14"/>
  <c r="O57" i="14"/>
  <c r="Q57" i="14" s="1"/>
  <c r="N57" i="14"/>
  <c r="J57" i="14"/>
  <c r="K57" i="14" s="1"/>
  <c r="M57" i="14" s="1"/>
  <c r="I57" i="14"/>
  <c r="U56" i="14"/>
  <c r="O56" i="14"/>
  <c r="Q56" i="14" s="1"/>
  <c r="N56" i="14"/>
  <c r="S56" i="14" s="1"/>
  <c r="J56" i="14"/>
  <c r="I56" i="14"/>
  <c r="K56" i="14" s="1"/>
  <c r="M56" i="14" s="1"/>
  <c r="P56" i="14" s="1"/>
  <c r="U55" i="14"/>
  <c r="O55" i="14"/>
  <c r="Q55" i="14" s="1"/>
  <c r="N55" i="14"/>
  <c r="J55" i="14"/>
  <c r="I55" i="14"/>
  <c r="K55" i="14" s="1"/>
  <c r="M55" i="14" s="1"/>
  <c r="U54" i="14"/>
  <c r="O54" i="14"/>
  <c r="Q54" i="14" s="1"/>
  <c r="N54" i="14"/>
  <c r="J54" i="14"/>
  <c r="I54" i="14"/>
  <c r="K54" i="14" s="1"/>
  <c r="M54" i="14" s="1"/>
  <c r="P54" i="14" s="1"/>
  <c r="U53" i="14"/>
  <c r="O53" i="14"/>
  <c r="N53" i="14"/>
  <c r="J53" i="14"/>
  <c r="I53" i="14"/>
  <c r="P27" i="14"/>
  <c r="S17" i="14"/>
  <c r="S27" i="14" s="1"/>
  <c r="D17" i="14"/>
  <c r="D27" i="14" s="1"/>
  <c r="AB15" i="14"/>
  <c r="Z15" i="14"/>
  <c r="Y15" i="14"/>
  <c r="X15" i="14"/>
  <c r="V15" i="14"/>
  <c r="K15" i="14"/>
  <c r="J15" i="14"/>
  <c r="I15" i="14"/>
  <c r="G15" i="14"/>
  <c r="M15" i="14" s="1"/>
  <c r="Z14" i="14"/>
  <c r="Y14" i="14"/>
  <c r="X14" i="14"/>
  <c r="V14" i="14"/>
  <c r="AB14" i="14" s="1"/>
  <c r="AC14" i="14" s="1"/>
  <c r="M14" i="14"/>
  <c r="K14" i="14"/>
  <c r="J14" i="14"/>
  <c r="I14" i="14"/>
  <c r="G14" i="14"/>
  <c r="AB13" i="14"/>
  <c r="Z13" i="14"/>
  <c r="Y13" i="14"/>
  <c r="X13" i="14"/>
  <c r="V13" i="14"/>
  <c r="K13" i="14"/>
  <c r="J13" i="14"/>
  <c r="I13" i="14"/>
  <c r="G13" i="14"/>
  <c r="M13" i="14" s="1"/>
  <c r="N13" i="14" s="1"/>
  <c r="Z12" i="14"/>
  <c r="Y12" i="14"/>
  <c r="X12" i="14"/>
  <c r="V12" i="14"/>
  <c r="AB12" i="14" s="1"/>
  <c r="M12" i="14"/>
  <c r="N12" i="14" s="1"/>
  <c r="K12" i="14"/>
  <c r="J12" i="14"/>
  <c r="L12" i="14" s="1"/>
  <c r="O12" i="14" s="1"/>
  <c r="I12" i="14"/>
  <c r="G12" i="14"/>
  <c r="AB11" i="14"/>
  <c r="Z11" i="14"/>
  <c r="Y11" i="14"/>
  <c r="X11" i="14"/>
  <c r="V11" i="14"/>
  <c r="K11" i="14"/>
  <c r="J11" i="14"/>
  <c r="I11" i="14"/>
  <c r="G11" i="14"/>
  <c r="M11" i="14" s="1"/>
  <c r="Z10" i="14"/>
  <c r="Y10" i="14"/>
  <c r="X10" i="14"/>
  <c r="V10" i="14"/>
  <c r="AB10" i="14" s="1"/>
  <c r="AC10" i="14" s="1"/>
  <c r="L10" i="14"/>
  <c r="O10" i="14" s="1"/>
  <c r="K10" i="14"/>
  <c r="J10" i="14"/>
  <c r="I10" i="14"/>
  <c r="G10" i="14"/>
  <c r="M10" i="14" s="1"/>
  <c r="N10" i="14" s="1"/>
  <c r="Z9" i="14"/>
  <c r="Y9" i="14"/>
  <c r="X9" i="14"/>
  <c r="V9" i="14"/>
  <c r="AB9" i="14" s="1"/>
  <c r="AC9" i="14" s="1"/>
  <c r="K9" i="14"/>
  <c r="J9" i="14"/>
  <c r="I9" i="14"/>
  <c r="G9" i="14"/>
  <c r="M9" i="14" s="1"/>
  <c r="A9" i="14"/>
  <c r="A10" i="14" s="1"/>
  <c r="A11" i="14" s="1"/>
  <c r="A12" i="14" s="1"/>
  <c r="A13" i="14" s="1"/>
  <c r="A14" i="14" s="1"/>
  <c r="A15" i="14" s="1"/>
  <c r="Z8" i="14"/>
  <c r="Y8" i="14"/>
  <c r="X8" i="14"/>
  <c r="V8" i="14"/>
  <c r="AB8" i="14" s="1"/>
  <c r="P8" i="14"/>
  <c r="P9" i="14" s="1"/>
  <c r="P10" i="14" s="1"/>
  <c r="P11" i="14" s="1"/>
  <c r="P12" i="14" s="1"/>
  <c r="P13" i="14" s="1"/>
  <c r="P14" i="14" s="1"/>
  <c r="P15" i="14" s="1"/>
  <c r="K8" i="14"/>
  <c r="J8" i="14"/>
  <c r="I8" i="14"/>
  <c r="G8" i="14"/>
  <c r="M8" i="14" s="1"/>
  <c r="N8" i="14" s="1"/>
  <c r="A8" i="14"/>
  <c r="AB7" i="14"/>
  <c r="Z7" i="14"/>
  <c r="Y7" i="14"/>
  <c r="X7" i="14"/>
  <c r="V7" i="14"/>
  <c r="K7" i="14"/>
  <c r="J7" i="14"/>
  <c r="I7" i="14"/>
  <c r="G7" i="14"/>
  <c r="M7" i="14" s="1"/>
  <c r="E13" i="12"/>
  <c r="F13" i="12" s="1"/>
  <c r="F12" i="11"/>
  <c r="G145" i="8"/>
  <c r="F95" i="11"/>
  <c r="G95" i="11" s="1"/>
  <c r="F93" i="11"/>
  <c r="G93" i="11" s="1"/>
  <c r="C34" i="11"/>
  <c r="D100" i="13"/>
  <c r="M100" i="13" s="1"/>
  <c r="D100" i="2"/>
  <c r="D129" i="13"/>
  <c r="D130" i="13" s="1"/>
  <c r="U123" i="13"/>
  <c r="C26" i="11" s="1"/>
  <c r="T123" i="13"/>
  <c r="H123" i="13"/>
  <c r="G123" i="13"/>
  <c r="D115" i="13"/>
  <c r="D112" i="13"/>
  <c r="D109" i="13"/>
  <c r="G113" i="13" s="1"/>
  <c r="H113" i="13" s="1"/>
  <c r="R105" i="13"/>
  <c r="O104" i="13"/>
  <c r="Q104" i="13" s="1"/>
  <c r="N104" i="13"/>
  <c r="M104" i="13"/>
  <c r="U103" i="13"/>
  <c r="O103" i="13"/>
  <c r="P103" i="13" s="1"/>
  <c r="S103" i="13" s="1"/>
  <c r="M103" i="13"/>
  <c r="J103" i="13"/>
  <c r="I103" i="13"/>
  <c r="U102" i="13"/>
  <c r="O102" i="13"/>
  <c r="M102" i="13"/>
  <c r="J102" i="13"/>
  <c r="I102" i="13"/>
  <c r="N100" i="13"/>
  <c r="J100" i="13"/>
  <c r="I100" i="13"/>
  <c r="U98" i="13"/>
  <c r="O98" i="13"/>
  <c r="Q98" i="13" s="1"/>
  <c r="S98" i="13" s="1"/>
  <c r="N98" i="13"/>
  <c r="J98" i="13"/>
  <c r="I98" i="13"/>
  <c r="K98" i="13" s="1"/>
  <c r="M98" i="13" s="1"/>
  <c r="P98" i="13" s="1"/>
  <c r="U97" i="13"/>
  <c r="O97" i="13"/>
  <c r="Q97" i="13" s="1"/>
  <c r="N97" i="13"/>
  <c r="S97" i="13" s="1"/>
  <c r="J97" i="13"/>
  <c r="I97" i="13"/>
  <c r="K97" i="13" s="1"/>
  <c r="M97" i="13" s="1"/>
  <c r="U96" i="13"/>
  <c r="Q96" i="13"/>
  <c r="O96" i="13"/>
  <c r="N96" i="13"/>
  <c r="J96" i="13"/>
  <c r="I96" i="13"/>
  <c r="K96" i="13" s="1"/>
  <c r="M96" i="13" s="1"/>
  <c r="P96" i="13" s="1"/>
  <c r="U95" i="13"/>
  <c r="O95" i="13"/>
  <c r="N95" i="13"/>
  <c r="J95" i="13"/>
  <c r="I95" i="13"/>
  <c r="K95" i="13" s="1"/>
  <c r="M95" i="13" s="1"/>
  <c r="U94" i="13"/>
  <c r="Q94" i="13"/>
  <c r="O94" i="13"/>
  <c r="N94" i="13"/>
  <c r="J94" i="13"/>
  <c r="I94" i="13"/>
  <c r="U93" i="13"/>
  <c r="O93" i="13"/>
  <c r="Q93" i="13" s="1"/>
  <c r="N93" i="13"/>
  <c r="J93" i="13"/>
  <c r="K93" i="13" s="1"/>
  <c r="M93" i="13" s="1"/>
  <c r="P93" i="13" s="1"/>
  <c r="I93" i="13"/>
  <c r="U92" i="13"/>
  <c r="O92" i="13"/>
  <c r="Q92" i="13" s="1"/>
  <c r="S92" i="13" s="1"/>
  <c r="N92" i="13"/>
  <c r="J92" i="13"/>
  <c r="I92" i="13"/>
  <c r="U91" i="13"/>
  <c r="O91" i="13"/>
  <c r="Q91" i="13" s="1"/>
  <c r="N91" i="13"/>
  <c r="S91" i="13" s="1"/>
  <c r="J91" i="13"/>
  <c r="I91" i="13"/>
  <c r="K91" i="13" s="1"/>
  <c r="M91" i="13" s="1"/>
  <c r="P91" i="13" s="1"/>
  <c r="U90" i="13"/>
  <c r="O90" i="13"/>
  <c r="Q90" i="13" s="1"/>
  <c r="N90" i="13"/>
  <c r="J90" i="13"/>
  <c r="K90" i="13" s="1"/>
  <c r="M90" i="13" s="1"/>
  <c r="P90" i="13" s="1"/>
  <c r="I90" i="13"/>
  <c r="U89" i="13"/>
  <c r="O89" i="13"/>
  <c r="N89" i="13"/>
  <c r="J89" i="13"/>
  <c r="I89" i="13"/>
  <c r="K89" i="13" s="1"/>
  <c r="M89" i="13" s="1"/>
  <c r="P89" i="13" s="1"/>
  <c r="U88" i="13"/>
  <c r="O88" i="13"/>
  <c r="Q88" i="13" s="1"/>
  <c r="N88" i="13"/>
  <c r="J88" i="13"/>
  <c r="I88" i="13"/>
  <c r="K88" i="13" s="1"/>
  <c r="M88" i="13" s="1"/>
  <c r="U87" i="13"/>
  <c r="O87" i="13"/>
  <c r="Q87" i="13" s="1"/>
  <c r="N87" i="13"/>
  <c r="J87" i="13"/>
  <c r="I87" i="13"/>
  <c r="U86" i="13"/>
  <c r="O86" i="13"/>
  <c r="Q86" i="13" s="1"/>
  <c r="S86" i="13" s="1"/>
  <c r="N86" i="13"/>
  <c r="J86" i="13"/>
  <c r="I86" i="13"/>
  <c r="U85" i="13"/>
  <c r="O85" i="13"/>
  <c r="Q85" i="13" s="1"/>
  <c r="N85" i="13"/>
  <c r="J85" i="13"/>
  <c r="I85" i="13"/>
  <c r="K85" i="13" s="1"/>
  <c r="M85" i="13" s="1"/>
  <c r="P85" i="13" s="1"/>
  <c r="U84" i="13"/>
  <c r="Q84" i="13"/>
  <c r="O84" i="13"/>
  <c r="N84" i="13"/>
  <c r="J84" i="13"/>
  <c r="K84" i="13" s="1"/>
  <c r="M84" i="13" s="1"/>
  <c r="P84" i="13" s="1"/>
  <c r="I84" i="13"/>
  <c r="U83" i="13"/>
  <c r="O83" i="13"/>
  <c r="N83" i="13"/>
  <c r="J83" i="13"/>
  <c r="I83" i="13"/>
  <c r="K83" i="13" s="1"/>
  <c r="M83" i="13" s="1"/>
  <c r="P83" i="13" s="1"/>
  <c r="U82" i="13"/>
  <c r="Q82" i="13"/>
  <c r="O82" i="13"/>
  <c r="N82" i="13"/>
  <c r="J82" i="13"/>
  <c r="I82" i="13"/>
  <c r="K82" i="13" s="1"/>
  <c r="M82" i="13" s="1"/>
  <c r="P82" i="13" s="1"/>
  <c r="U81" i="13"/>
  <c r="O81" i="13"/>
  <c r="Q81" i="13" s="1"/>
  <c r="S81" i="13" s="1"/>
  <c r="N81" i="13"/>
  <c r="J81" i="13"/>
  <c r="I81" i="13"/>
  <c r="U80" i="13"/>
  <c r="O80" i="13"/>
  <c r="Q80" i="13" s="1"/>
  <c r="S80" i="13" s="1"/>
  <c r="N80" i="13"/>
  <c r="J80" i="13"/>
  <c r="I80" i="13"/>
  <c r="K80" i="13" s="1"/>
  <c r="M80" i="13" s="1"/>
  <c r="P80" i="13" s="1"/>
  <c r="U79" i="13"/>
  <c r="O79" i="13"/>
  <c r="Q79" i="13" s="1"/>
  <c r="N79" i="13"/>
  <c r="S79" i="13" s="1"/>
  <c r="J79" i="13"/>
  <c r="I79" i="13"/>
  <c r="U78" i="13"/>
  <c r="O78" i="13"/>
  <c r="Q78" i="13" s="1"/>
  <c r="N78" i="13"/>
  <c r="J78" i="13"/>
  <c r="I78" i="13"/>
  <c r="K78" i="13" s="1"/>
  <c r="M78" i="13" s="1"/>
  <c r="P78" i="13" s="1"/>
  <c r="U77" i="13"/>
  <c r="O77" i="13"/>
  <c r="N77" i="13"/>
  <c r="J77" i="13"/>
  <c r="I77" i="13"/>
  <c r="U76" i="13"/>
  <c r="O76" i="13"/>
  <c r="Q76" i="13" s="1"/>
  <c r="N76" i="13"/>
  <c r="J76" i="13"/>
  <c r="I76" i="13"/>
  <c r="K76" i="13" s="1"/>
  <c r="M76" i="13" s="1"/>
  <c r="U75" i="13"/>
  <c r="O75" i="13"/>
  <c r="Q75" i="13" s="1"/>
  <c r="S75" i="13" s="1"/>
  <c r="N75" i="13"/>
  <c r="J75" i="13"/>
  <c r="K75" i="13" s="1"/>
  <c r="M75" i="13" s="1"/>
  <c r="I75" i="13"/>
  <c r="U74" i="13"/>
  <c r="O74" i="13"/>
  <c r="Q74" i="13" s="1"/>
  <c r="S74" i="13" s="1"/>
  <c r="N74" i="13"/>
  <c r="J74" i="13"/>
  <c r="I74" i="13"/>
  <c r="U73" i="13"/>
  <c r="O73" i="13"/>
  <c r="Q73" i="13" s="1"/>
  <c r="N73" i="13"/>
  <c r="S73" i="13" s="1"/>
  <c r="J73" i="13"/>
  <c r="I73" i="13"/>
  <c r="K73" i="13" s="1"/>
  <c r="M73" i="13" s="1"/>
  <c r="U72" i="13"/>
  <c r="O72" i="13"/>
  <c r="Q72" i="13" s="1"/>
  <c r="N72" i="13"/>
  <c r="J72" i="13"/>
  <c r="K72" i="13" s="1"/>
  <c r="M72" i="13" s="1"/>
  <c r="P72" i="13" s="1"/>
  <c r="I72" i="13"/>
  <c r="U71" i="13"/>
  <c r="O71" i="13"/>
  <c r="N71" i="13"/>
  <c r="J71" i="13"/>
  <c r="I71" i="13"/>
  <c r="K71" i="13" s="1"/>
  <c r="M71" i="13" s="1"/>
  <c r="U70" i="13"/>
  <c r="O70" i="13"/>
  <c r="Q70" i="13" s="1"/>
  <c r="N70" i="13"/>
  <c r="J70" i="13"/>
  <c r="I70" i="13"/>
  <c r="K70" i="13" s="1"/>
  <c r="M70" i="13" s="1"/>
  <c r="P70" i="13" s="1"/>
  <c r="U69" i="13"/>
  <c r="O69" i="13"/>
  <c r="Q69" i="13" s="1"/>
  <c r="N69" i="13"/>
  <c r="J69" i="13"/>
  <c r="K69" i="13" s="1"/>
  <c r="M69" i="13" s="1"/>
  <c r="P69" i="13" s="1"/>
  <c r="I69" i="13"/>
  <c r="U68" i="13"/>
  <c r="Q68" i="13"/>
  <c r="O68" i="13"/>
  <c r="N68" i="13"/>
  <c r="J68" i="13"/>
  <c r="I68" i="13"/>
  <c r="K68" i="13" s="1"/>
  <c r="M68" i="13" s="1"/>
  <c r="P68" i="13" s="1"/>
  <c r="U67" i="13"/>
  <c r="O67" i="13"/>
  <c r="Q67" i="13" s="1"/>
  <c r="N67" i="13"/>
  <c r="S67" i="13" s="1"/>
  <c r="J67" i="13"/>
  <c r="I67" i="13"/>
  <c r="K67" i="13" s="1"/>
  <c r="M67" i="13" s="1"/>
  <c r="P67" i="13" s="1"/>
  <c r="U66" i="13"/>
  <c r="Q66" i="13"/>
  <c r="O66" i="13"/>
  <c r="N66" i="13"/>
  <c r="J66" i="13"/>
  <c r="I66" i="13"/>
  <c r="K66" i="13" s="1"/>
  <c r="M66" i="13" s="1"/>
  <c r="P66" i="13" s="1"/>
  <c r="U65" i="13"/>
  <c r="O65" i="13"/>
  <c r="N65" i="13"/>
  <c r="J65" i="13"/>
  <c r="I65" i="13"/>
  <c r="K65" i="13" s="1"/>
  <c r="M65" i="13" s="1"/>
  <c r="P65" i="13" s="1"/>
  <c r="U64" i="13"/>
  <c r="Q64" i="13"/>
  <c r="O64" i="13"/>
  <c r="N64" i="13"/>
  <c r="J64" i="13"/>
  <c r="I64" i="13"/>
  <c r="K64" i="13" s="1"/>
  <c r="M64" i="13" s="1"/>
  <c r="P64" i="13" s="1"/>
  <c r="U63" i="13"/>
  <c r="O63" i="13"/>
  <c r="Q63" i="13" s="1"/>
  <c r="S63" i="13" s="1"/>
  <c r="N63" i="13"/>
  <c r="J63" i="13"/>
  <c r="I63" i="13"/>
  <c r="U62" i="13"/>
  <c r="O62" i="13"/>
  <c r="Q62" i="13" s="1"/>
  <c r="S62" i="13" s="1"/>
  <c r="N62" i="13"/>
  <c r="J62" i="13"/>
  <c r="I62" i="13"/>
  <c r="K62" i="13" s="1"/>
  <c r="M62" i="13" s="1"/>
  <c r="P62" i="13" s="1"/>
  <c r="U61" i="13"/>
  <c r="O61" i="13"/>
  <c r="Q61" i="13" s="1"/>
  <c r="N61" i="13"/>
  <c r="S61" i="13" s="1"/>
  <c r="J61" i="13"/>
  <c r="I61" i="13"/>
  <c r="K61" i="13" s="1"/>
  <c r="M61" i="13" s="1"/>
  <c r="U60" i="13"/>
  <c r="Q60" i="13"/>
  <c r="O60" i="13"/>
  <c r="N60" i="13"/>
  <c r="J60" i="13"/>
  <c r="I60" i="13"/>
  <c r="K60" i="13" s="1"/>
  <c r="M60" i="13" s="1"/>
  <c r="P60" i="13" s="1"/>
  <c r="U59" i="13"/>
  <c r="O59" i="13"/>
  <c r="N59" i="13"/>
  <c r="J59" i="13"/>
  <c r="I59" i="13"/>
  <c r="K59" i="13" s="1"/>
  <c r="M59" i="13" s="1"/>
  <c r="U58" i="13"/>
  <c r="Q58" i="13"/>
  <c r="O58" i="13"/>
  <c r="N58" i="13"/>
  <c r="J58" i="13"/>
  <c r="I58" i="13"/>
  <c r="U57" i="13"/>
  <c r="O57" i="13"/>
  <c r="Q57" i="13" s="1"/>
  <c r="N57" i="13"/>
  <c r="J57" i="13"/>
  <c r="K57" i="13" s="1"/>
  <c r="M57" i="13" s="1"/>
  <c r="P57" i="13" s="1"/>
  <c r="I57" i="13"/>
  <c r="U56" i="13"/>
  <c r="O56" i="13"/>
  <c r="Q56" i="13" s="1"/>
  <c r="S56" i="13" s="1"/>
  <c r="N56" i="13"/>
  <c r="J56" i="13"/>
  <c r="I56" i="13"/>
  <c r="U55" i="13"/>
  <c r="O55" i="13"/>
  <c r="Q55" i="13" s="1"/>
  <c r="N55" i="13"/>
  <c r="S55" i="13" s="1"/>
  <c r="J55" i="13"/>
  <c r="I55" i="13"/>
  <c r="K55" i="13" s="1"/>
  <c r="M55" i="13" s="1"/>
  <c r="P55" i="13" s="1"/>
  <c r="U54" i="13"/>
  <c r="O54" i="13"/>
  <c r="Q54" i="13" s="1"/>
  <c r="N54" i="13"/>
  <c r="J54" i="13"/>
  <c r="K54" i="13" s="1"/>
  <c r="M54" i="13" s="1"/>
  <c r="P54" i="13" s="1"/>
  <c r="I54" i="13"/>
  <c r="U53" i="13"/>
  <c r="O53" i="13"/>
  <c r="N53" i="13"/>
  <c r="J53" i="13"/>
  <c r="I53" i="13"/>
  <c r="K53" i="13" s="1"/>
  <c r="M53" i="13" s="1"/>
  <c r="P27" i="13"/>
  <c r="D27" i="13"/>
  <c r="S17" i="13"/>
  <c r="S27" i="13" s="1"/>
  <c r="D17" i="13"/>
  <c r="Z15" i="13"/>
  <c r="Y15" i="13"/>
  <c r="X15" i="13"/>
  <c r="V15" i="13"/>
  <c r="AB15" i="13" s="1"/>
  <c r="AC15" i="13" s="1"/>
  <c r="K15" i="13"/>
  <c r="J15" i="13"/>
  <c r="L15" i="13" s="1"/>
  <c r="O15" i="13" s="1"/>
  <c r="I15" i="13"/>
  <c r="G15" i="13"/>
  <c r="M15" i="13" s="1"/>
  <c r="AB14" i="13"/>
  <c r="Z14" i="13"/>
  <c r="AA14" i="13" s="1"/>
  <c r="Y14" i="13"/>
  <c r="X14" i="13"/>
  <c r="V14" i="13"/>
  <c r="K14" i="13"/>
  <c r="J14" i="13"/>
  <c r="I14" i="13"/>
  <c r="G14" i="13"/>
  <c r="M14" i="13" s="1"/>
  <c r="N14" i="13" s="1"/>
  <c r="Z13" i="13"/>
  <c r="Y13" i="13"/>
  <c r="X13" i="13"/>
  <c r="V13" i="13"/>
  <c r="AB13" i="13" s="1"/>
  <c r="AC13" i="13" s="1"/>
  <c r="K13" i="13"/>
  <c r="K17" i="13" s="1"/>
  <c r="K27" i="13" s="1"/>
  <c r="J13" i="13"/>
  <c r="I13" i="13"/>
  <c r="G13" i="13"/>
  <c r="M13" i="13" s="1"/>
  <c r="Z12" i="13"/>
  <c r="Y12" i="13"/>
  <c r="X12" i="13"/>
  <c r="V12" i="13"/>
  <c r="AB12" i="13" s="1"/>
  <c r="AC12" i="13" s="1"/>
  <c r="K12" i="13"/>
  <c r="J12" i="13"/>
  <c r="I12" i="13"/>
  <c r="G12" i="13"/>
  <c r="M12" i="13" s="1"/>
  <c r="N12" i="13" s="1"/>
  <c r="Z11" i="13"/>
  <c r="Y11" i="13"/>
  <c r="X11" i="13"/>
  <c r="V11" i="13"/>
  <c r="AB11" i="13" s="1"/>
  <c r="K11" i="13"/>
  <c r="J11" i="13"/>
  <c r="I11" i="13"/>
  <c r="G11" i="13"/>
  <c r="M11" i="13" s="1"/>
  <c r="N11" i="13" s="1"/>
  <c r="Z10" i="13"/>
  <c r="Y10" i="13"/>
  <c r="X10" i="13"/>
  <c r="V10" i="13"/>
  <c r="AB10" i="13" s="1"/>
  <c r="AC10" i="13" s="1"/>
  <c r="K10" i="13"/>
  <c r="J10" i="13"/>
  <c r="L10" i="13" s="1"/>
  <c r="I10" i="13"/>
  <c r="G10" i="13"/>
  <c r="M10" i="13" s="1"/>
  <c r="N10" i="13" s="1"/>
  <c r="Z9" i="13"/>
  <c r="Y9" i="13"/>
  <c r="X9" i="13"/>
  <c r="V9" i="13"/>
  <c r="AB9" i="13" s="1"/>
  <c r="P9" i="13"/>
  <c r="P10" i="13" s="1"/>
  <c r="P11" i="13" s="1"/>
  <c r="P12" i="13" s="1"/>
  <c r="P13" i="13" s="1"/>
  <c r="P14" i="13" s="1"/>
  <c r="P15" i="13" s="1"/>
  <c r="K9" i="13"/>
  <c r="J9" i="13"/>
  <c r="L9" i="13" s="1"/>
  <c r="O9" i="13" s="1"/>
  <c r="I9" i="13"/>
  <c r="G9" i="13"/>
  <c r="M9" i="13" s="1"/>
  <c r="Z8" i="13"/>
  <c r="Y8" i="13"/>
  <c r="X8" i="13"/>
  <c r="V8" i="13"/>
  <c r="AB8" i="13" s="1"/>
  <c r="AC8" i="13" s="1"/>
  <c r="P8" i="13"/>
  <c r="K8" i="13"/>
  <c r="J8" i="13"/>
  <c r="L8" i="13" s="1"/>
  <c r="I8" i="13"/>
  <c r="G8" i="13"/>
  <c r="M8" i="13" s="1"/>
  <c r="A8" i="13"/>
  <c r="A9" i="13" s="1"/>
  <c r="A10" i="13" s="1"/>
  <c r="A11" i="13" s="1"/>
  <c r="A12" i="13" s="1"/>
  <c r="A13" i="13" s="1"/>
  <c r="A14" i="13" s="1"/>
  <c r="A15" i="13" s="1"/>
  <c r="Z7" i="13"/>
  <c r="Y7" i="13"/>
  <c r="X7" i="13"/>
  <c r="V7" i="13"/>
  <c r="AB7" i="13" s="1"/>
  <c r="K7" i="13"/>
  <c r="J7" i="13"/>
  <c r="I7" i="13"/>
  <c r="G7" i="13"/>
  <c r="M7" i="13" s="1"/>
  <c r="F88" i="11"/>
  <c r="F83" i="12"/>
  <c r="F15" i="11"/>
  <c r="E16" i="12"/>
  <c r="F16" i="12" s="1"/>
  <c r="G114" i="12"/>
  <c r="F90" i="12"/>
  <c r="G90" i="12" s="1"/>
  <c r="F88" i="12"/>
  <c r="G88" i="12" s="1"/>
  <c r="C86" i="12"/>
  <c r="F86" i="12" s="1"/>
  <c r="C85" i="12"/>
  <c r="F85" i="12" s="1"/>
  <c r="F84" i="12"/>
  <c r="A83" i="12"/>
  <c r="A84" i="12" s="1"/>
  <c r="A85" i="12" s="1"/>
  <c r="A86" i="12" s="1"/>
  <c r="F82" i="12"/>
  <c r="B80" i="12"/>
  <c r="F79" i="12"/>
  <c r="C77" i="12"/>
  <c r="F77" i="12" s="1"/>
  <c r="G77" i="12" s="1"/>
  <c r="A77" i="12"/>
  <c r="F76" i="12"/>
  <c r="F74" i="12"/>
  <c r="C73" i="12"/>
  <c r="F73" i="12" s="1"/>
  <c r="C71" i="12"/>
  <c r="C70" i="12"/>
  <c r="C69" i="12"/>
  <c r="C68" i="12"/>
  <c r="C67" i="12"/>
  <c r="C64" i="12"/>
  <c r="C65" i="12" s="1"/>
  <c r="C63" i="12"/>
  <c r="E60" i="12"/>
  <c r="E59" i="12"/>
  <c r="F72" i="12"/>
  <c r="F57" i="12"/>
  <c r="A48" i="12"/>
  <c r="A49" i="12" s="1"/>
  <c r="A50" i="12" s="1"/>
  <c r="A51" i="12" s="1"/>
  <c r="A52" i="12" s="1"/>
  <c r="A53" i="12" s="1"/>
  <c r="A54" i="12" s="1"/>
  <c r="A55" i="12" s="1"/>
  <c r="C52" i="12"/>
  <c r="F34" i="12"/>
  <c r="F31" i="12"/>
  <c r="F30" i="12"/>
  <c r="E27" i="12"/>
  <c r="A24" i="12"/>
  <c r="A25" i="12" s="1"/>
  <c r="A26" i="12" s="1"/>
  <c r="A27" i="12" s="1"/>
  <c r="A28" i="12" s="1"/>
  <c r="A29" i="12" s="1"/>
  <c r="F23" i="12"/>
  <c r="F21" i="12"/>
  <c r="F20" i="12"/>
  <c r="F19" i="12"/>
  <c r="A19" i="12"/>
  <c r="A20" i="12" s="1"/>
  <c r="A21" i="12" s="1"/>
  <c r="F15" i="12"/>
  <c r="F14" i="12"/>
  <c r="F12" i="12"/>
  <c r="A12" i="12"/>
  <c r="A13" i="12" s="1"/>
  <c r="A14" i="12" s="1"/>
  <c r="A15" i="12" s="1"/>
  <c r="A16" i="12" s="1"/>
  <c r="C91" i="11"/>
  <c r="F91" i="11" s="1"/>
  <c r="C79" i="11"/>
  <c r="F79" i="11" s="1"/>
  <c r="G79" i="11" s="1"/>
  <c r="C75" i="11"/>
  <c r="F75" i="11" s="1"/>
  <c r="C49" i="11"/>
  <c r="F49" i="11" s="1"/>
  <c r="C33" i="11"/>
  <c r="C39" i="11" s="1"/>
  <c r="F39" i="11" s="1"/>
  <c r="C32" i="11"/>
  <c r="C38" i="11" s="1"/>
  <c r="F38" i="11" s="1"/>
  <c r="C31" i="11"/>
  <c r="C82" i="11" s="1"/>
  <c r="C90" i="11"/>
  <c r="F90" i="11" s="1"/>
  <c r="F89" i="11"/>
  <c r="A88" i="11"/>
  <c r="A89" i="11" s="1"/>
  <c r="A90" i="11" s="1"/>
  <c r="A91" i="11" s="1"/>
  <c r="F87" i="11"/>
  <c r="B85" i="11"/>
  <c r="B84" i="11"/>
  <c r="B83" i="11"/>
  <c r="B82" i="11"/>
  <c r="A82" i="11"/>
  <c r="A83" i="11" s="1"/>
  <c r="A84" i="11" s="1"/>
  <c r="A85" i="11" s="1"/>
  <c r="F81" i="11"/>
  <c r="A79" i="11"/>
  <c r="F78" i="11"/>
  <c r="F76" i="11"/>
  <c r="C73" i="11"/>
  <c r="C72" i="11"/>
  <c r="C71" i="11"/>
  <c r="C70" i="11"/>
  <c r="C69" i="11"/>
  <c r="F69" i="11" s="1"/>
  <c r="C66" i="11"/>
  <c r="C67" i="11" s="1"/>
  <c r="C65" i="11"/>
  <c r="F59" i="11"/>
  <c r="F58" i="11"/>
  <c r="F57" i="11"/>
  <c r="F56" i="11"/>
  <c r="F55" i="11"/>
  <c r="F74" i="11"/>
  <c r="A53" i="11"/>
  <c r="A60" i="11" s="1"/>
  <c r="A63" i="11" s="1"/>
  <c r="F52" i="11"/>
  <c r="A43" i="11"/>
  <c r="A44" i="11" s="1"/>
  <c r="A45" i="11" s="1"/>
  <c r="A46" i="11" s="1"/>
  <c r="A47" i="11" s="1"/>
  <c r="A48" i="11" s="1"/>
  <c r="A49" i="11" s="1"/>
  <c r="A50" i="11" s="1"/>
  <c r="A37" i="11"/>
  <c r="A38" i="11" s="1"/>
  <c r="A39" i="11" s="1"/>
  <c r="A40" i="11" s="1"/>
  <c r="F36" i="11"/>
  <c r="A31" i="11"/>
  <c r="A32" i="11" s="1"/>
  <c r="A33" i="11" s="1"/>
  <c r="A34" i="11" s="1"/>
  <c r="F30" i="11"/>
  <c r="F29" i="11"/>
  <c r="A23" i="11"/>
  <c r="A24" i="11" s="1"/>
  <c r="A25" i="11" s="1"/>
  <c r="A26" i="11" s="1"/>
  <c r="A27" i="11" s="1"/>
  <c r="A28" i="11" s="1"/>
  <c r="F22" i="11"/>
  <c r="F20" i="11"/>
  <c r="F19" i="11"/>
  <c r="F18" i="11"/>
  <c r="A18" i="11"/>
  <c r="A19" i="11" s="1"/>
  <c r="A20" i="11" s="1"/>
  <c r="F14" i="11"/>
  <c r="F13" i="11"/>
  <c r="F11" i="11"/>
  <c r="A11" i="11"/>
  <c r="A12" i="11" s="1"/>
  <c r="A13" i="11" s="1"/>
  <c r="A14" i="11" s="1"/>
  <c r="A15" i="11" s="1"/>
  <c r="E112" i="8"/>
  <c r="C115" i="8"/>
  <c r="G143" i="8"/>
  <c r="F39" i="12" l="1"/>
  <c r="G45" i="12"/>
  <c r="F68" i="12"/>
  <c r="F67" i="12"/>
  <c r="F71" i="12"/>
  <c r="F52" i="12"/>
  <c r="F60" i="12"/>
  <c r="O108" i="14"/>
  <c r="P97" i="14"/>
  <c r="S62" i="14"/>
  <c r="P67" i="14"/>
  <c r="P83" i="14"/>
  <c r="S85" i="14"/>
  <c r="S92" i="14"/>
  <c r="P65" i="14"/>
  <c r="P76" i="14"/>
  <c r="S54" i="13"/>
  <c r="AC14" i="13"/>
  <c r="Z17" i="14"/>
  <c r="Z27" i="14" s="1"/>
  <c r="AC12" i="14"/>
  <c r="AC13" i="14"/>
  <c r="K81" i="14"/>
  <c r="M81" i="14" s="1"/>
  <c r="P81" i="14" s="1"/>
  <c r="P96" i="14"/>
  <c r="AA10" i="13"/>
  <c r="AD10" i="13" s="1"/>
  <c r="L12" i="13"/>
  <c r="N15" i="13"/>
  <c r="P59" i="13"/>
  <c r="P61" i="13"/>
  <c r="K63" i="13"/>
  <c r="M63" i="13" s="1"/>
  <c r="P63" i="13" s="1"/>
  <c r="S69" i="13"/>
  <c r="P76" i="13"/>
  <c r="S82" i="13"/>
  <c r="S84" i="13"/>
  <c r="P95" i="13"/>
  <c r="P97" i="13"/>
  <c r="L14" i="14"/>
  <c r="O14" i="14" s="1"/>
  <c r="O105" i="14"/>
  <c r="O123" i="14" s="1"/>
  <c r="P60" i="14"/>
  <c r="P62" i="14"/>
  <c r="O110" i="14"/>
  <c r="L7" i="13"/>
  <c r="AC9" i="13"/>
  <c r="K74" i="13"/>
  <c r="M74" i="13" s="1"/>
  <c r="P74" i="13" s="1"/>
  <c r="S104" i="13"/>
  <c r="N9" i="14"/>
  <c r="K77" i="14"/>
  <c r="M77" i="14" s="1"/>
  <c r="P77" i="14" s="1"/>
  <c r="K90" i="14"/>
  <c r="M90" i="14" s="1"/>
  <c r="P90" i="14" s="1"/>
  <c r="S70" i="13"/>
  <c r="AC15" i="14"/>
  <c r="AC11" i="13"/>
  <c r="K58" i="13"/>
  <c r="M58" i="13" s="1"/>
  <c r="P58" i="13" s="1"/>
  <c r="S64" i="13"/>
  <c r="S66" i="13"/>
  <c r="K77" i="13"/>
  <c r="M77" i="13" s="1"/>
  <c r="P77" i="13" s="1"/>
  <c r="K79" i="13"/>
  <c r="M79" i="13" s="1"/>
  <c r="P79" i="13" s="1"/>
  <c r="K81" i="13"/>
  <c r="M81" i="13" s="1"/>
  <c r="P81" i="13" s="1"/>
  <c r="S85" i="13"/>
  <c r="S87" i="13"/>
  <c r="K94" i="13"/>
  <c r="M94" i="13" s="1"/>
  <c r="P94" i="13" s="1"/>
  <c r="P61" i="14"/>
  <c r="K63" i="14"/>
  <c r="M63" i="14" s="1"/>
  <c r="P63" i="14" s="1"/>
  <c r="S67" i="14"/>
  <c r="K93" i="14"/>
  <c r="M93" i="14" s="1"/>
  <c r="P93" i="14" s="1"/>
  <c r="M100" i="14"/>
  <c r="P100" i="14" s="1"/>
  <c r="S90" i="13"/>
  <c r="S78" i="13"/>
  <c r="S94" i="14"/>
  <c r="S93" i="13"/>
  <c r="K69" i="14"/>
  <c r="M69" i="14" s="1"/>
  <c r="P69" i="14" s="1"/>
  <c r="AA8" i="13"/>
  <c r="L14" i="13"/>
  <c r="AC11" i="14"/>
  <c r="L13" i="14"/>
  <c r="Z17" i="13"/>
  <c r="Z27" i="13" s="1"/>
  <c r="N13" i="13"/>
  <c r="K56" i="13"/>
  <c r="M56" i="13" s="1"/>
  <c r="P56" i="13" s="1"/>
  <c r="S68" i="13"/>
  <c r="K92" i="13"/>
  <c r="M92" i="13" s="1"/>
  <c r="P92" i="13" s="1"/>
  <c r="K17" i="14"/>
  <c r="K27" i="14" s="1"/>
  <c r="K59" i="14"/>
  <c r="M59" i="14" s="1"/>
  <c r="K91" i="14"/>
  <c r="M91" i="14" s="1"/>
  <c r="P91" i="14" s="1"/>
  <c r="S76" i="13"/>
  <c r="AA12" i="13"/>
  <c r="AD12" i="13" s="1"/>
  <c r="S60" i="13"/>
  <c r="P71" i="13"/>
  <c r="P75" i="13"/>
  <c r="P88" i="13"/>
  <c r="S94" i="13"/>
  <c r="S96" i="13"/>
  <c r="AC8" i="14"/>
  <c r="S61" i="14"/>
  <c r="S104" i="14"/>
  <c r="S88" i="13"/>
  <c r="S55" i="14"/>
  <c r="AD8" i="13"/>
  <c r="L11" i="13"/>
  <c r="O11" i="13" s="1"/>
  <c r="S57" i="13"/>
  <c r="S72" i="13"/>
  <c r="K87" i="13"/>
  <c r="M87" i="13" s="1"/>
  <c r="P87" i="13" s="1"/>
  <c r="L8" i="14"/>
  <c r="O8" i="14" s="1"/>
  <c r="N14" i="14"/>
  <c r="S73" i="14"/>
  <c r="S88" i="14"/>
  <c r="O110" i="13"/>
  <c r="N9" i="13"/>
  <c r="S58" i="13"/>
  <c r="P73" i="13"/>
  <c r="N8" i="13"/>
  <c r="L13" i="13"/>
  <c r="O13" i="13" s="1"/>
  <c r="J17" i="13"/>
  <c r="J27" i="13" s="1"/>
  <c r="J29" i="13" s="1"/>
  <c r="K86" i="13"/>
  <c r="M86" i="13" s="1"/>
  <c r="P86" i="13" s="1"/>
  <c r="N11" i="14"/>
  <c r="N15" i="14"/>
  <c r="K53" i="14"/>
  <c r="M53" i="14" s="1"/>
  <c r="P53" i="14" s="1"/>
  <c r="S57" i="14"/>
  <c r="K85" i="14"/>
  <c r="M85" i="14" s="1"/>
  <c r="P85" i="14" s="1"/>
  <c r="S87" i="14"/>
  <c r="S91" i="14"/>
  <c r="S72" i="14"/>
  <c r="P79" i="14"/>
  <c r="P92" i="14"/>
  <c r="S66" i="14"/>
  <c r="S60" i="14"/>
  <c r="S90" i="14"/>
  <c r="S96" i="14"/>
  <c r="S54" i="14"/>
  <c r="P78" i="14"/>
  <c r="P82" i="14"/>
  <c r="P95" i="14"/>
  <c r="P59" i="14"/>
  <c r="S84" i="14"/>
  <c r="P55" i="14"/>
  <c r="P57" i="14"/>
  <c r="P72" i="14"/>
  <c r="P74" i="14"/>
  <c r="P87" i="14"/>
  <c r="P89" i="14"/>
  <c r="P103" i="14"/>
  <c r="S103" i="14" s="1"/>
  <c r="S79" i="14"/>
  <c r="AB17" i="14"/>
  <c r="AB27" i="14" s="1"/>
  <c r="M17" i="14"/>
  <c r="M27" i="14" s="1"/>
  <c r="N7" i="14"/>
  <c r="S86" i="14"/>
  <c r="S69" i="14"/>
  <c r="O15" i="14"/>
  <c r="AD10" i="14"/>
  <c r="S63" i="14"/>
  <c r="S80" i="14"/>
  <c r="S82" i="14"/>
  <c r="S93" i="14"/>
  <c r="S97" i="14"/>
  <c r="AA7" i="14"/>
  <c r="AA13" i="14"/>
  <c r="AD13" i="14" s="1"/>
  <c r="AA15" i="14"/>
  <c r="AD15" i="14" s="1"/>
  <c r="Y17" i="14"/>
  <c r="Q53" i="14"/>
  <c r="Q59" i="14"/>
  <c r="S59" i="14" s="1"/>
  <c r="Q65" i="14"/>
  <c r="S65" i="14" s="1"/>
  <c r="Q71" i="14"/>
  <c r="S71" i="14" s="1"/>
  <c r="Q77" i="14"/>
  <c r="S77" i="14" s="1"/>
  <c r="Q83" i="14"/>
  <c r="S83" i="14" s="1"/>
  <c r="Q89" i="14"/>
  <c r="S89" i="14" s="1"/>
  <c r="Q95" i="14"/>
  <c r="S95" i="14" s="1"/>
  <c r="P104" i="14"/>
  <c r="O107" i="14"/>
  <c r="O115" i="14" s="1"/>
  <c r="P102" i="14"/>
  <c r="AC7" i="14"/>
  <c r="AC17" i="14" s="1"/>
  <c r="AC27" i="14" s="1"/>
  <c r="L9" i="14"/>
  <c r="O9" i="14" s="1"/>
  <c r="Q100" i="14"/>
  <c r="S100" i="14" s="1"/>
  <c r="J17" i="14"/>
  <c r="N105" i="14"/>
  <c r="N123" i="14" s="1"/>
  <c r="L11" i="14"/>
  <c r="O11" i="14" s="1"/>
  <c r="L15" i="14"/>
  <c r="L7" i="14"/>
  <c r="AA8" i="14"/>
  <c r="AD8" i="14" s="1"/>
  <c r="AA10" i="14"/>
  <c r="AA12" i="14"/>
  <c r="AD12" i="14" s="1"/>
  <c r="O13" i="14"/>
  <c r="AA14" i="14"/>
  <c r="AD14" i="14" s="1"/>
  <c r="AA9" i="14"/>
  <c r="AD9" i="14" s="1"/>
  <c r="AA11" i="14"/>
  <c r="AD11" i="14" s="1"/>
  <c r="C37" i="11"/>
  <c r="F37" i="11" s="1"/>
  <c r="O100" i="13"/>
  <c r="O109" i="13" s="1"/>
  <c r="U100" i="13"/>
  <c r="U105" i="13" s="1"/>
  <c r="D118" i="13"/>
  <c r="AD14" i="13"/>
  <c r="J35" i="13"/>
  <c r="O7" i="13"/>
  <c r="S71" i="13"/>
  <c r="P53" i="13"/>
  <c r="AC7" i="13"/>
  <c r="AC17" i="13" s="1"/>
  <c r="AC27" i="13" s="1"/>
  <c r="AB17" i="13"/>
  <c r="AB27" i="13" s="1"/>
  <c r="M17" i="13"/>
  <c r="M27" i="13" s="1"/>
  <c r="N7" i="13"/>
  <c r="N17" i="13" s="1"/>
  <c r="P102" i="13"/>
  <c r="AA7" i="13"/>
  <c r="O8" i="13"/>
  <c r="AA9" i="13"/>
  <c r="AD9" i="13" s="1"/>
  <c r="O10" i="13"/>
  <c r="AA11" i="13"/>
  <c r="AD11" i="13" s="1"/>
  <c r="O12" i="13"/>
  <c r="AA13" i="13"/>
  <c r="AD13" i="13" s="1"/>
  <c r="O14" i="13"/>
  <c r="AA15" i="13"/>
  <c r="AD15" i="13" s="1"/>
  <c r="Y17" i="13"/>
  <c r="Q53" i="13"/>
  <c r="Q59" i="13"/>
  <c r="S59" i="13" s="1"/>
  <c r="Q65" i="13"/>
  <c r="S65" i="13" s="1"/>
  <c r="Q71" i="13"/>
  <c r="Q77" i="13"/>
  <c r="S77" i="13" s="1"/>
  <c r="Q83" i="13"/>
  <c r="S83" i="13" s="1"/>
  <c r="Q89" i="13"/>
  <c r="S89" i="13" s="1"/>
  <c r="Q95" i="13"/>
  <c r="S95" i="13" s="1"/>
  <c r="P104" i="13"/>
  <c r="U104" i="13" s="1"/>
  <c r="O107" i="13"/>
  <c r="O108" i="13"/>
  <c r="N105" i="13"/>
  <c r="L19" i="13"/>
  <c r="F71" i="11"/>
  <c r="F54" i="11"/>
  <c r="F67" i="11"/>
  <c r="F65" i="11"/>
  <c r="C49" i="12"/>
  <c r="F49" i="12" s="1"/>
  <c r="F70" i="12"/>
  <c r="C51" i="12"/>
  <c r="F51" i="12" s="1"/>
  <c r="C54" i="12"/>
  <c r="F54" i="12" s="1"/>
  <c r="G21" i="12"/>
  <c r="F27" i="12"/>
  <c r="C53" i="12"/>
  <c r="F53" i="12" s="1"/>
  <c r="F69" i="12"/>
  <c r="C50" i="12"/>
  <c r="F50" i="12" s="1"/>
  <c r="F64" i="12"/>
  <c r="G86" i="12"/>
  <c r="F65" i="12"/>
  <c r="F59" i="12"/>
  <c r="A73" i="12"/>
  <c r="A74" i="12" s="1"/>
  <c r="F63" i="12"/>
  <c r="C48" i="12"/>
  <c r="F48" i="12" s="1"/>
  <c r="C55" i="12"/>
  <c r="F55" i="12" s="1"/>
  <c r="G16" i="12"/>
  <c r="G91" i="11"/>
  <c r="F62" i="11"/>
  <c r="F61" i="11"/>
  <c r="C45" i="11"/>
  <c r="F45" i="11" s="1"/>
  <c r="C47" i="11"/>
  <c r="F47" i="11" s="1"/>
  <c r="C43" i="11"/>
  <c r="F43" i="11" s="1"/>
  <c r="C44" i="11"/>
  <c r="F44" i="11" s="1"/>
  <c r="C46" i="11"/>
  <c r="F46" i="11" s="1"/>
  <c r="C48" i="11"/>
  <c r="F48" i="11" s="1"/>
  <c r="C50" i="11"/>
  <c r="F50" i="11" s="1"/>
  <c r="F26" i="11"/>
  <c r="G20" i="11"/>
  <c r="A74" i="11"/>
  <c r="A75" i="11" s="1"/>
  <c r="A76" i="11" s="1"/>
  <c r="G15" i="11"/>
  <c r="F66" i="11"/>
  <c r="F70" i="11"/>
  <c r="F82" i="11"/>
  <c r="C83" i="11"/>
  <c r="F83" i="11" s="1"/>
  <c r="C84" i="11"/>
  <c r="F84" i="11" s="1"/>
  <c r="F73" i="11"/>
  <c r="F31" i="11"/>
  <c r="F32" i="11"/>
  <c r="F33" i="11"/>
  <c r="F72" i="11"/>
  <c r="F40" i="8"/>
  <c r="C40" i="8"/>
  <c r="C34" i="8"/>
  <c r="C33" i="8"/>
  <c r="C32" i="8"/>
  <c r="C27" i="8"/>
  <c r="H113" i="2"/>
  <c r="G113" i="2"/>
  <c r="D115" i="2"/>
  <c r="D112" i="2"/>
  <c r="D109" i="2"/>
  <c r="U123" i="2"/>
  <c r="M105" i="14" l="1"/>
  <c r="M123" i="14" s="1"/>
  <c r="M127" i="14" s="1"/>
  <c r="N123" i="13"/>
  <c r="C24" i="11"/>
  <c r="J36" i="13"/>
  <c r="J32" i="13"/>
  <c r="J33" i="13"/>
  <c r="J34" i="13"/>
  <c r="J30" i="13"/>
  <c r="M105" i="13"/>
  <c r="AA17" i="13"/>
  <c r="AA27" i="13" s="1"/>
  <c r="L17" i="14"/>
  <c r="L27" i="14" s="1"/>
  <c r="J31" i="13"/>
  <c r="J37" i="13"/>
  <c r="L17" i="13"/>
  <c r="L27" i="13" s="1"/>
  <c r="N27" i="13" s="1"/>
  <c r="U104" i="14"/>
  <c r="U105" i="14" s="1"/>
  <c r="N17" i="14"/>
  <c r="M133" i="14"/>
  <c r="M125" i="14"/>
  <c r="M132" i="14"/>
  <c r="M128" i="14"/>
  <c r="M131" i="14"/>
  <c r="Q123" i="14"/>
  <c r="O117" i="14"/>
  <c r="P123" i="14" s="1"/>
  <c r="M130" i="14"/>
  <c r="M129" i="14"/>
  <c r="AA17" i="14"/>
  <c r="AA27" i="14" s="1"/>
  <c r="P105" i="14"/>
  <c r="J27" i="14"/>
  <c r="L19" i="14"/>
  <c r="Q108" i="14"/>
  <c r="S102" i="14"/>
  <c r="Q105" i="14"/>
  <c r="AD7" i="14"/>
  <c r="AD17" i="14" s="1"/>
  <c r="AD27" i="14" s="1"/>
  <c r="O7" i="14"/>
  <c r="O17" i="14" s="1"/>
  <c r="O27" i="14" s="1"/>
  <c r="AA19" i="14"/>
  <c r="Y27" i="14"/>
  <c r="S53" i="14"/>
  <c r="P100" i="13"/>
  <c r="P105" i="13"/>
  <c r="Q100" i="13"/>
  <c r="S100" i="13" s="1"/>
  <c r="O105" i="13"/>
  <c r="O123" i="13" s="1"/>
  <c r="O115" i="13"/>
  <c r="Y27" i="13"/>
  <c r="AA19" i="13"/>
  <c r="O17" i="13"/>
  <c r="O27" i="13" s="1"/>
  <c r="AD7" i="13"/>
  <c r="AD17" i="13" s="1"/>
  <c r="AD27" i="13" s="1"/>
  <c r="Q108" i="13"/>
  <c r="S102" i="13"/>
  <c r="S53" i="13"/>
  <c r="S105" i="13" s="1"/>
  <c r="G74" i="12"/>
  <c r="G55" i="12"/>
  <c r="G76" i="11"/>
  <c r="G50" i="11"/>
  <c r="U98" i="2"/>
  <c r="O98" i="2"/>
  <c r="Q98" i="2" s="1"/>
  <c r="N98" i="2"/>
  <c r="J98" i="2"/>
  <c r="I98" i="2"/>
  <c r="U97" i="2"/>
  <c r="O97" i="2"/>
  <c r="Q97" i="2" s="1"/>
  <c r="N97" i="2"/>
  <c r="J97" i="2"/>
  <c r="I97" i="2"/>
  <c r="U96" i="2"/>
  <c r="O96" i="2"/>
  <c r="Q96" i="2" s="1"/>
  <c r="N96" i="2"/>
  <c r="J96" i="2"/>
  <c r="I96" i="2"/>
  <c r="U95" i="2"/>
  <c r="O95" i="2"/>
  <c r="Q95" i="2" s="1"/>
  <c r="N95" i="2"/>
  <c r="J95" i="2"/>
  <c r="I95" i="2"/>
  <c r="U94" i="2"/>
  <c r="O94" i="2"/>
  <c r="Q94" i="2" s="1"/>
  <c r="N94" i="2"/>
  <c r="J94" i="2"/>
  <c r="I94" i="2"/>
  <c r="U93" i="2"/>
  <c r="O93" i="2"/>
  <c r="Q93" i="2" s="1"/>
  <c r="N93" i="2"/>
  <c r="J93" i="2"/>
  <c r="I93" i="2"/>
  <c r="U92" i="2"/>
  <c r="O92" i="2"/>
  <c r="Q92" i="2" s="1"/>
  <c r="N92" i="2"/>
  <c r="J92" i="2"/>
  <c r="I92" i="2"/>
  <c r="U91" i="2"/>
  <c r="O91" i="2"/>
  <c r="Q91" i="2" s="1"/>
  <c r="N91" i="2"/>
  <c r="J91" i="2"/>
  <c r="I91" i="2"/>
  <c r="U90" i="2"/>
  <c r="O90" i="2"/>
  <c r="Q90" i="2" s="1"/>
  <c r="N90" i="2"/>
  <c r="J90" i="2"/>
  <c r="I90" i="2"/>
  <c r="U89" i="2"/>
  <c r="O89" i="2"/>
  <c r="Q89" i="2" s="1"/>
  <c r="N89" i="2"/>
  <c r="J89" i="2"/>
  <c r="I89" i="2"/>
  <c r="U88" i="2"/>
  <c r="O88" i="2"/>
  <c r="Q88" i="2" s="1"/>
  <c r="N88" i="2"/>
  <c r="J88" i="2"/>
  <c r="I88" i="2"/>
  <c r="U87" i="2"/>
  <c r="O87" i="2"/>
  <c r="Q87" i="2" s="1"/>
  <c r="N87" i="2"/>
  <c r="J87" i="2"/>
  <c r="I87" i="2"/>
  <c r="U86" i="2"/>
  <c r="O86" i="2"/>
  <c r="Q86" i="2" s="1"/>
  <c r="N86" i="2"/>
  <c r="J86" i="2"/>
  <c r="I86" i="2"/>
  <c r="U85" i="2"/>
  <c r="O85" i="2"/>
  <c r="Q85" i="2" s="1"/>
  <c r="N85" i="2"/>
  <c r="J85" i="2"/>
  <c r="I85" i="2"/>
  <c r="U84" i="2"/>
  <c r="O84" i="2"/>
  <c r="Q84" i="2" s="1"/>
  <c r="N84" i="2"/>
  <c r="J84" i="2"/>
  <c r="I84" i="2"/>
  <c r="K84" i="2" s="1"/>
  <c r="M84" i="2" s="1"/>
  <c r="U83" i="2"/>
  <c r="O83" i="2"/>
  <c r="Q83" i="2" s="1"/>
  <c r="N83" i="2"/>
  <c r="J83" i="2"/>
  <c r="I83" i="2"/>
  <c r="U82" i="2"/>
  <c r="O82" i="2"/>
  <c r="Q82" i="2" s="1"/>
  <c r="N82" i="2"/>
  <c r="J82" i="2"/>
  <c r="I82" i="2"/>
  <c r="U81" i="2"/>
  <c r="O81" i="2"/>
  <c r="Q81" i="2" s="1"/>
  <c r="N81" i="2"/>
  <c r="J81" i="2"/>
  <c r="I81" i="2"/>
  <c r="U80" i="2"/>
  <c r="O80" i="2"/>
  <c r="Q80" i="2" s="1"/>
  <c r="N80" i="2"/>
  <c r="J80" i="2"/>
  <c r="I80" i="2"/>
  <c r="U79" i="2"/>
  <c r="O79" i="2"/>
  <c r="Q79" i="2" s="1"/>
  <c r="N79" i="2"/>
  <c r="J79" i="2"/>
  <c r="I79" i="2"/>
  <c r="U78" i="2"/>
  <c r="O78" i="2"/>
  <c r="Q78" i="2" s="1"/>
  <c r="N78" i="2"/>
  <c r="J78" i="2"/>
  <c r="I78" i="2"/>
  <c r="U77" i="2"/>
  <c r="O77" i="2"/>
  <c r="Q77" i="2" s="1"/>
  <c r="N77" i="2"/>
  <c r="J77" i="2"/>
  <c r="I77" i="2"/>
  <c r="U76" i="2"/>
  <c r="O76" i="2"/>
  <c r="Q76" i="2" s="1"/>
  <c r="N76" i="2"/>
  <c r="J76" i="2"/>
  <c r="I76" i="2"/>
  <c r="U75" i="2"/>
  <c r="O75" i="2"/>
  <c r="Q75" i="2" s="1"/>
  <c r="N75" i="2"/>
  <c r="J75" i="2"/>
  <c r="I75" i="2"/>
  <c r="U74" i="2"/>
  <c r="O74" i="2"/>
  <c r="Q74" i="2" s="1"/>
  <c r="N74" i="2"/>
  <c r="J74" i="2"/>
  <c r="I74" i="2"/>
  <c r="U73" i="2"/>
  <c r="O73" i="2"/>
  <c r="Q73" i="2" s="1"/>
  <c r="N73" i="2"/>
  <c r="J73" i="2"/>
  <c r="I73" i="2"/>
  <c r="U72" i="2"/>
  <c r="O72" i="2"/>
  <c r="Q72" i="2" s="1"/>
  <c r="N72" i="2"/>
  <c r="J72" i="2"/>
  <c r="I72" i="2"/>
  <c r="U71" i="2"/>
  <c r="O71" i="2"/>
  <c r="Q71" i="2" s="1"/>
  <c r="N71" i="2"/>
  <c r="J71" i="2"/>
  <c r="I71" i="2"/>
  <c r="U70" i="2"/>
  <c r="O70" i="2"/>
  <c r="Q70" i="2" s="1"/>
  <c r="N70" i="2"/>
  <c r="J70" i="2"/>
  <c r="I70" i="2"/>
  <c r="U69" i="2"/>
  <c r="O69" i="2"/>
  <c r="Q69" i="2" s="1"/>
  <c r="N69" i="2"/>
  <c r="J69" i="2"/>
  <c r="I69" i="2"/>
  <c r="U68" i="2"/>
  <c r="O68" i="2"/>
  <c r="Q68" i="2" s="1"/>
  <c r="N68" i="2"/>
  <c r="J68" i="2"/>
  <c r="I68" i="2"/>
  <c r="U67" i="2"/>
  <c r="O67" i="2"/>
  <c r="Q67" i="2" s="1"/>
  <c r="N67" i="2"/>
  <c r="J67" i="2"/>
  <c r="I67" i="2"/>
  <c r="U66" i="2"/>
  <c r="O66" i="2"/>
  <c r="Q66" i="2" s="1"/>
  <c r="N66" i="2"/>
  <c r="J66" i="2"/>
  <c r="I66" i="2"/>
  <c r="U65" i="2"/>
  <c r="O65" i="2"/>
  <c r="Q65" i="2" s="1"/>
  <c r="N65" i="2"/>
  <c r="J65" i="2"/>
  <c r="I65" i="2"/>
  <c r="U64" i="2"/>
  <c r="O64" i="2"/>
  <c r="Q64" i="2" s="1"/>
  <c r="N64" i="2"/>
  <c r="J64" i="2"/>
  <c r="I64" i="2"/>
  <c r="U63" i="2"/>
  <c r="O63" i="2"/>
  <c r="Q63" i="2" s="1"/>
  <c r="N63" i="2"/>
  <c r="J63" i="2"/>
  <c r="I63" i="2"/>
  <c r="U54" i="2"/>
  <c r="O54" i="2"/>
  <c r="Q54" i="2" s="1"/>
  <c r="N54" i="2"/>
  <c r="J54" i="2"/>
  <c r="I54" i="2"/>
  <c r="C96" i="8"/>
  <c r="C85" i="8"/>
  <c r="H72" i="8"/>
  <c r="I72" i="8" s="1"/>
  <c r="H69" i="8"/>
  <c r="H68" i="8"/>
  <c r="C578" i="9"/>
  <c r="C573" i="9"/>
  <c r="C572" i="9"/>
  <c r="G572" i="9"/>
  <c r="C555" i="9"/>
  <c r="C550" i="9"/>
  <c r="C549" i="9"/>
  <c r="G549" i="9"/>
  <c r="C532" i="9"/>
  <c r="C527" i="9"/>
  <c r="C526" i="9"/>
  <c r="H526" i="9"/>
  <c r="C463" i="9"/>
  <c r="C486" i="9"/>
  <c r="F493" i="9"/>
  <c r="C490" i="9"/>
  <c r="C487" i="9"/>
  <c r="C485" i="9"/>
  <c r="C481" i="9"/>
  <c r="C482" i="9" s="1"/>
  <c r="C480" i="9"/>
  <c r="F477" i="9"/>
  <c r="C417" i="9"/>
  <c r="G415" i="9"/>
  <c r="C440" i="9"/>
  <c r="G432" i="9"/>
  <c r="H457" i="9"/>
  <c r="C509" i="9"/>
  <c r="C504" i="9"/>
  <c r="C503" i="9"/>
  <c r="H479" i="9"/>
  <c r="C457" i="9"/>
  <c r="C458" i="9" s="1"/>
  <c r="C434" i="9"/>
  <c r="C435" i="9" s="1"/>
  <c r="M126" i="14" l="1"/>
  <c r="M123" i="13"/>
  <c r="C23" i="11"/>
  <c r="S123" i="13"/>
  <c r="C28" i="11"/>
  <c r="C27" i="11"/>
  <c r="C25" i="11"/>
  <c r="O117" i="13"/>
  <c r="P123" i="13" s="1"/>
  <c r="S105" i="14"/>
  <c r="S123" i="14" s="1"/>
  <c r="Y31" i="14"/>
  <c r="Y33" i="14"/>
  <c r="Y30" i="14"/>
  <c r="Y37" i="14"/>
  <c r="Y32" i="14"/>
  <c r="Y36" i="14"/>
  <c r="Y34" i="14"/>
  <c r="Y35" i="14"/>
  <c r="Y29" i="14"/>
  <c r="J34" i="14"/>
  <c r="J37" i="14"/>
  <c r="J31" i="14"/>
  <c r="J29" i="14"/>
  <c r="J33" i="14"/>
  <c r="J35" i="14"/>
  <c r="J32" i="14"/>
  <c r="J36" i="14"/>
  <c r="J30" i="14"/>
  <c r="N27" i="14"/>
  <c r="Q105" i="13"/>
  <c r="Y33" i="13"/>
  <c r="Y37" i="13"/>
  <c r="Y31" i="13"/>
  <c r="Y34" i="13"/>
  <c r="Y32" i="13"/>
  <c r="Y36" i="13"/>
  <c r="Y30" i="13"/>
  <c r="Y35" i="13"/>
  <c r="Y29" i="13"/>
  <c r="K79" i="2"/>
  <c r="M79" i="2" s="1"/>
  <c r="K73" i="2"/>
  <c r="M73" i="2" s="1"/>
  <c r="P73" i="2" s="1"/>
  <c r="K92" i="2"/>
  <c r="M92" i="2" s="1"/>
  <c r="K64" i="2"/>
  <c r="M64" i="2" s="1"/>
  <c r="P64" i="2" s="1"/>
  <c r="S80" i="2"/>
  <c r="S88" i="2"/>
  <c r="S92" i="2"/>
  <c r="S96" i="2"/>
  <c r="K98" i="2"/>
  <c r="M98" i="2" s="1"/>
  <c r="P98" i="2" s="1"/>
  <c r="S98" i="2"/>
  <c r="K97" i="2"/>
  <c r="M97" i="2" s="1"/>
  <c r="P97" i="2" s="1"/>
  <c r="K96" i="2"/>
  <c r="M96" i="2" s="1"/>
  <c r="P96" i="2" s="1"/>
  <c r="K95" i="2"/>
  <c r="M95" i="2" s="1"/>
  <c r="P95" i="2" s="1"/>
  <c r="K94" i="2"/>
  <c r="M94" i="2" s="1"/>
  <c r="P94" i="2" s="1"/>
  <c r="S94" i="2"/>
  <c r="K93" i="2"/>
  <c r="M93" i="2" s="1"/>
  <c r="K91" i="2"/>
  <c r="M91" i="2" s="1"/>
  <c r="P91" i="2" s="1"/>
  <c r="K90" i="2"/>
  <c r="M90" i="2" s="1"/>
  <c r="S90" i="2"/>
  <c r="K89" i="2"/>
  <c r="M89" i="2" s="1"/>
  <c r="P89" i="2" s="1"/>
  <c r="K88" i="2"/>
  <c r="M88" i="2" s="1"/>
  <c r="P88" i="2" s="1"/>
  <c r="K87" i="2"/>
  <c r="M87" i="2" s="1"/>
  <c r="P87" i="2" s="1"/>
  <c r="K86" i="2"/>
  <c r="M86" i="2" s="1"/>
  <c r="P86" i="2" s="1"/>
  <c r="S86" i="2"/>
  <c r="K85" i="2"/>
  <c r="M85" i="2" s="1"/>
  <c r="S84" i="2"/>
  <c r="K83" i="2"/>
  <c r="M83" i="2" s="1"/>
  <c r="K82" i="2"/>
  <c r="M82" i="2" s="1"/>
  <c r="P82" i="2" s="1"/>
  <c r="S82" i="2"/>
  <c r="K81" i="2"/>
  <c r="M81" i="2" s="1"/>
  <c r="K80" i="2"/>
  <c r="M80" i="2" s="1"/>
  <c r="P80" i="2" s="1"/>
  <c r="S81" i="2"/>
  <c r="S83" i="2"/>
  <c r="S85" i="2"/>
  <c r="S87" i="2"/>
  <c r="S89" i="2"/>
  <c r="S91" i="2"/>
  <c r="S93" i="2"/>
  <c r="S95" i="2"/>
  <c r="S97" i="2"/>
  <c r="P79" i="2"/>
  <c r="P81" i="2"/>
  <c r="P83" i="2"/>
  <c r="P84" i="2"/>
  <c r="P85" i="2"/>
  <c r="P90" i="2"/>
  <c r="P92" i="2"/>
  <c r="P93" i="2"/>
  <c r="S79" i="2"/>
  <c r="K78" i="2"/>
  <c r="M78" i="2" s="1"/>
  <c r="P78" i="2" s="1"/>
  <c r="S78" i="2"/>
  <c r="K77" i="2"/>
  <c r="M77" i="2" s="1"/>
  <c r="P77" i="2" s="1"/>
  <c r="S77" i="2"/>
  <c r="K76" i="2"/>
  <c r="M76" i="2" s="1"/>
  <c r="P76" i="2" s="1"/>
  <c r="S76" i="2"/>
  <c r="K75" i="2"/>
  <c r="M75" i="2" s="1"/>
  <c r="P75" i="2" s="1"/>
  <c r="S75" i="2"/>
  <c r="K74" i="2"/>
  <c r="M74" i="2" s="1"/>
  <c r="P74" i="2" s="1"/>
  <c r="S74" i="2"/>
  <c r="S73" i="2"/>
  <c r="K72" i="2"/>
  <c r="M72" i="2" s="1"/>
  <c r="P72" i="2" s="1"/>
  <c r="S72" i="2"/>
  <c r="K71" i="2"/>
  <c r="M71" i="2" s="1"/>
  <c r="P71" i="2" s="1"/>
  <c r="K70" i="2"/>
  <c r="M70" i="2" s="1"/>
  <c r="P70" i="2" s="1"/>
  <c r="K69" i="2"/>
  <c r="M69" i="2" s="1"/>
  <c r="P69" i="2" s="1"/>
  <c r="K68" i="2"/>
  <c r="M68" i="2" s="1"/>
  <c r="P68" i="2" s="1"/>
  <c r="S69" i="2"/>
  <c r="K67" i="2"/>
  <c r="M67" i="2" s="1"/>
  <c r="P67" i="2" s="1"/>
  <c r="K66" i="2"/>
  <c r="M66" i="2" s="1"/>
  <c r="P66" i="2" s="1"/>
  <c r="K65" i="2"/>
  <c r="M65" i="2" s="1"/>
  <c r="P65" i="2" s="1"/>
  <c r="S64" i="2"/>
  <c r="S66" i="2"/>
  <c r="S71" i="2"/>
  <c r="S65" i="2"/>
  <c r="S68" i="2"/>
  <c r="S70" i="2"/>
  <c r="S67" i="2"/>
  <c r="K63" i="2"/>
  <c r="M63" i="2" s="1"/>
  <c r="P63" i="2" s="1"/>
  <c r="S63" i="2"/>
  <c r="K54" i="2"/>
  <c r="M54" i="2" s="1"/>
  <c r="P54" i="2" s="1"/>
  <c r="S54" i="2"/>
  <c r="C412" i="9"/>
  <c r="C411" i="9"/>
  <c r="E60" i="8"/>
  <c r="E59" i="8"/>
  <c r="E58" i="8"/>
  <c r="C61" i="8"/>
  <c r="C60" i="8"/>
  <c r="C59" i="8"/>
  <c r="C58" i="8"/>
  <c r="C57" i="8"/>
  <c r="C56" i="8"/>
  <c r="C55" i="8"/>
  <c r="C54" i="8"/>
  <c r="C51" i="8"/>
  <c r="C50" i="8"/>
  <c r="C48" i="8"/>
  <c r="C47" i="8"/>
  <c r="C45" i="8"/>
  <c r="C44" i="8"/>
  <c r="O103" i="2"/>
  <c r="U103" i="2"/>
  <c r="M103" i="2"/>
  <c r="J103" i="2"/>
  <c r="I103" i="2"/>
  <c r="U102" i="2"/>
  <c r="O102" i="2"/>
  <c r="M129" i="13" l="1"/>
  <c r="M131" i="13"/>
  <c r="M128" i="13"/>
  <c r="M133" i="13"/>
  <c r="M127" i="13"/>
  <c r="M125" i="13"/>
  <c r="M130" i="13"/>
  <c r="M126" i="13"/>
  <c r="M132" i="13"/>
  <c r="Q123" i="13"/>
  <c r="O110" i="2"/>
  <c r="P103" i="2"/>
  <c r="S103" i="2" s="1"/>
  <c r="F60" i="8"/>
  <c r="F59" i="8"/>
  <c r="F58" i="8"/>
  <c r="F54" i="8"/>
  <c r="A54" i="8"/>
  <c r="A55" i="8" s="1"/>
  <c r="A56" i="8" s="1"/>
  <c r="A57" i="8" s="1"/>
  <c r="A58" i="8" s="1"/>
  <c r="A59" i="8" s="1"/>
  <c r="A60" i="8" s="1"/>
  <c r="A61" i="8" s="1"/>
  <c r="A39" i="8"/>
  <c r="A40" i="8" s="1"/>
  <c r="A41" i="8" s="1"/>
  <c r="B108" i="8"/>
  <c r="A38" i="8"/>
  <c r="F34" i="8"/>
  <c r="I43" i="8"/>
  <c r="I44" i="8" s="1"/>
  <c r="I39" i="8"/>
  <c r="I41" i="8" s="1"/>
  <c r="I35" i="8"/>
  <c r="I36" i="8" s="1"/>
  <c r="I32" i="8"/>
  <c r="I33" i="8" s="1"/>
  <c r="B109" i="8"/>
  <c r="B107" i="8"/>
  <c r="C601" i="9"/>
  <c r="C595" i="9"/>
  <c r="J57" i="8"/>
  <c r="I64" i="8"/>
  <c r="I63" i="8"/>
  <c r="I61" i="8"/>
  <c r="I60" i="8"/>
  <c r="I59" i="8"/>
  <c r="I58" i="8"/>
  <c r="I57" i="8"/>
  <c r="F83" i="7"/>
  <c r="C49" i="8"/>
  <c r="C46" i="8"/>
  <c r="M102" i="2"/>
  <c r="P102" i="2" s="1"/>
  <c r="S102" i="2" s="1"/>
  <c r="J102" i="2"/>
  <c r="I102" i="2"/>
  <c r="C38" i="8"/>
  <c r="D118" i="2"/>
  <c r="P27" i="2"/>
  <c r="E157" i="9"/>
  <c r="E156" i="9"/>
  <c r="E153" i="9"/>
  <c r="E107" i="9"/>
  <c r="C35" i="8" l="1"/>
  <c r="C41" i="8" s="1"/>
  <c r="C108" i="8"/>
  <c r="F108" i="8" s="1"/>
  <c r="F33" i="8"/>
  <c r="C107" i="8"/>
  <c r="F107" i="8" s="1"/>
  <c r="C39" i="8"/>
  <c r="F39" i="8" s="1"/>
  <c r="C109" i="8"/>
  <c r="C132" i="9"/>
  <c r="F132" i="9" s="1"/>
  <c r="C85" i="7"/>
  <c r="D79" i="7"/>
  <c r="I79" i="7" s="1"/>
  <c r="D78" i="7"/>
  <c r="D77" i="7"/>
  <c r="D76" i="7"/>
  <c r="A76" i="7"/>
  <c r="A78" i="7" s="1"/>
  <c r="C70" i="7"/>
  <c r="H70" i="7" s="1"/>
  <c r="H69" i="7"/>
  <c r="C69" i="7"/>
  <c r="C68" i="7"/>
  <c r="H68" i="7" s="1"/>
  <c r="A68" i="7"/>
  <c r="A69" i="7" s="1"/>
  <c r="A71" i="7" s="1"/>
  <c r="I63" i="7"/>
  <c r="E79" i="7" s="1"/>
  <c r="C63" i="7"/>
  <c r="A63" i="7"/>
  <c r="C62" i="7"/>
  <c r="I62" i="7" s="1"/>
  <c r="E78" i="7" s="1"/>
  <c r="I61" i="7"/>
  <c r="E77" i="7" s="1"/>
  <c r="A61" i="7"/>
  <c r="I60" i="7"/>
  <c r="E76" i="7" s="1"/>
  <c r="A60" i="7"/>
  <c r="A62" i="7" s="1"/>
  <c r="C120" i="9"/>
  <c r="F120" i="9" s="1"/>
  <c r="E121" i="9"/>
  <c r="F121" i="9" s="1"/>
  <c r="E119" i="9"/>
  <c r="E131" i="9" s="1"/>
  <c r="E118" i="9"/>
  <c r="F118" i="9" s="1"/>
  <c r="E117" i="9"/>
  <c r="E129" i="9" s="1"/>
  <c r="E116" i="9"/>
  <c r="E128" i="9" s="1"/>
  <c r="F53" i="7"/>
  <c r="C43" i="7"/>
  <c r="C37" i="7"/>
  <c r="I37" i="7" s="1"/>
  <c r="E49" i="7" s="1"/>
  <c r="C55" i="7"/>
  <c r="D49" i="7"/>
  <c r="D48" i="7"/>
  <c r="A48" i="7"/>
  <c r="H43" i="7"/>
  <c r="A42" i="7"/>
  <c r="A43" i="7" s="1"/>
  <c r="A37" i="7"/>
  <c r="I36" i="7"/>
  <c r="E48" i="7" s="1"/>
  <c r="A36" i="7"/>
  <c r="F50" i="8"/>
  <c r="F49" i="8"/>
  <c r="F48" i="8"/>
  <c r="F44" i="8"/>
  <c r="H43" i="8"/>
  <c r="E51" i="8"/>
  <c r="E61" i="8" s="1"/>
  <c r="F61" i="8" s="1"/>
  <c r="A44" i="8"/>
  <c r="A45" i="8" s="1"/>
  <c r="A46" i="8" s="1"/>
  <c r="A47" i="8" s="1"/>
  <c r="A48" i="8" s="1"/>
  <c r="A49" i="8" s="1"/>
  <c r="A50" i="8" s="1"/>
  <c r="A51" i="8" s="1"/>
  <c r="F109" i="9"/>
  <c r="F107" i="9"/>
  <c r="F106" i="9"/>
  <c r="F29" i="7"/>
  <c r="C15" i="7"/>
  <c r="H15" i="7" s="1"/>
  <c r="C14" i="7"/>
  <c r="H14" i="7" s="1"/>
  <c r="C9" i="7"/>
  <c r="I9" i="7" s="1"/>
  <c r="E25" i="7" s="1"/>
  <c r="C8" i="7"/>
  <c r="I8" i="7" s="1"/>
  <c r="E24" i="7" s="1"/>
  <c r="C109" i="7"/>
  <c r="F107" i="7"/>
  <c r="D103" i="7"/>
  <c r="D102" i="7"/>
  <c r="A102" i="7"/>
  <c r="A103" i="7" s="1"/>
  <c r="C97" i="7"/>
  <c r="H97" i="7" s="1"/>
  <c r="C96" i="7"/>
  <c r="H96" i="7" s="1"/>
  <c r="A96" i="7"/>
  <c r="A97" i="7" s="1"/>
  <c r="I91" i="7"/>
  <c r="E103" i="7" s="1"/>
  <c r="I90" i="7"/>
  <c r="E102" i="7" s="1"/>
  <c r="A90" i="7"/>
  <c r="A91" i="7" s="1"/>
  <c r="C31" i="7"/>
  <c r="D25" i="7"/>
  <c r="D24" i="7"/>
  <c r="D23" i="7"/>
  <c r="D22" i="7"/>
  <c r="A22" i="7"/>
  <c r="A24" i="7" s="1"/>
  <c r="A14" i="7"/>
  <c r="A16" i="7" s="1"/>
  <c r="I7" i="7"/>
  <c r="E23" i="7" s="1"/>
  <c r="I6" i="7"/>
  <c r="E22" i="7" s="1"/>
  <c r="A6" i="7"/>
  <c r="A8" i="7" s="1"/>
  <c r="F25" i="9"/>
  <c r="F27" i="9" s="1"/>
  <c r="F21" i="9"/>
  <c r="F18" i="9"/>
  <c r="F17" i="9"/>
  <c r="F16" i="9"/>
  <c r="A15" i="9"/>
  <c r="A16" i="9" s="1"/>
  <c r="A17" i="9" s="1"/>
  <c r="A18" i="9" s="1"/>
  <c r="A19" i="9" s="1"/>
  <c r="F13" i="9"/>
  <c r="F12" i="9"/>
  <c r="F11" i="9"/>
  <c r="F10" i="9"/>
  <c r="F9" i="9"/>
  <c r="A9" i="9"/>
  <c r="A10" i="9" s="1"/>
  <c r="A11" i="9" s="1"/>
  <c r="A12" i="9" s="1"/>
  <c r="A13" i="9" s="1"/>
  <c r="B106" i="8"/>
  <c r="F34" i="11" l="1"/>
  <c r="G34" i="11" s="1"/>
  <c r="C85" i="11"/>
  <c r="F85" i="11" s="1"/>
  <c r="G85" i="11" s="1"/>
  <c r="C40" i="11"/>
  <c r="F40" i="11" s="1"/>
  <c r="G40" i="11" s="1"/>
  <c r="C80" i="12"/>
  <c r="F80" i="12" s="1"/>
  <c r="G80" i="12" s="1"/>
  <c r="C35" i="12"/>
  <c r="F35" i="12" s="1"/>
  <c r="G35" i="12" s="1"/>
  <c r="F32" i="12"/>
  <c r="G32" i="12" s="1"/>
  <c r="E130" i="9"/>
  <c r="E133" i="9"/>
  <c r="F133" i="9" s="1"/>
  <c r="F130" i="9"/>
  <c r="F19" i="9"/>
  <c r="F23" i="9" s="1"/>
  <c r="I76" i="7"/>
  <c r="I78" i="7"/>
  <c r="I77" i="7"/>
  <c r="C42" i="7"/>
  <c r="H42" i="7" s="1"/>
  <c r="A70" i="7"/>
  <c r="C71" i="7"/>
  <c r="H71" i="7" s="1"/>
  <c r="A77" i="7"/>
  <c r="A79" i="7" s="1"/>
  <c r="I48" i="7"/>
  <c r="I102" i="7"/>
  <c r="D107" i="7" s="1"/>
  <c r="I103" i="7"/>
  <c r="E107" i="7" s="1"/>
  <c r="I107" i="7" s="1"/>
  <c r="I49" i="7"/>
  <c r="A15" i="7"/>
  <c r="A17" i="7" s="1"/>
  <c r="C16" i="7"/>
  <c r="H16" i="7" s="1"/>
  <c r="A7" i="7"/>
  <c r="A9" i="7" s="1"/>
  <c r="C17" i="7"/>
  <c r="H17" i="7" s="1"/>
  <c r="A49" i="7"/>
  <c r="F51" i="8"/>
  <c r="I25" i="7"/>
  <c r="I23" i="7"/>
  <c r="I24" i="7"/>
  <c r="I22" i="7"/>
  <c r="D109" i="7"/>
  <c r="A23" i="7"/>
  <c r="A25" i="7" s="1"/>
  <c r="Q108" i="2" l="1"/>
  <c r="D83" i="7"/>
  <c r="D53" i="7"/>
  <c r="I53" i="7" s="1"/>
  <c r="C116" i="9" s="1"/>
  <c r="C119" i="9" s="1"/>
  <c r="D29" i="7"/>
  <c r="D31" i="7" s="1"/>
  <c r="F100" i="8"/>
  <c r="F99" i="8"/>
  <c r="C117" i="9" l="1"/>
  <c r="F116" i="9"/>
  <c r="D85" i="7"/>
  <c r="I83" i="7"/>
  <c r="C128" i="9" s="1"/>
  <c r="D55" i="7"/>
  <c r="I29" i="7"/>
  <c r="C105" i="9" s="1"/>
  <c r="C596" i="9"/>
  <c r="F608" i="9"/>
  <c r="C605" i="9"/>
  <c r="C602" i="9"/>
  <c r="C600" i="9"/>
  <c r="F592" i="9"/>
  <c r="G498" i="9"/>
  <c r="F585" i="9"/>
  <c r="C582" i="9"/>
  <c r="C579" i="9"/>
  <c r="C577" i="9"/>
  <c r="F569" i="9"/>
  <c r="H475" i="9"/>
  <c r="F562" i="9"/>
  <c r="C559" i="9"/>
  <c r="C556" i="9"/>
  <c r="C554" i="9"/>
  <c r="F546" i="9"/>
  <c r="G449" i="9"/>
  <c r="F539" i="9"/>
  <c r="C536" i="9"/>
  <c r="C533" i="9"/>
  <c r="C531" i="9"/>
  <c r="F523" i="9"/>
  <c r="G428" i="9"/>
  <c r="F516" i="9"/>
  <c r="C513" i="9"/>
  <c r="C510" i="9"/>
  <c r="C508" i="9"/>
  <c r="F500" i="9"/>
  <c r="H402" i="9"/>
  <c r="F470" i="9"/>
  <c r="C467" i="9"/>
  <c r="C464" i="9"/>
  <c r="C462" i="9"/>
  <c r="F454" i="9"/>
  <c r="H378" i="9"/>
  <c r="E444" i="9"/>
  <c r="E467" i="9" s="1"/>
  <c r="E413" i="9"/>
  <c r="E436" i="9" s="1"/>
  <c r="E459" i="9" s="1"/>
  <c r="E412" i="9"/>
  <c r="E435" i="9" s="1"/>
  <c r="E458" i="9" s="1"/>
  <c r="E411" i="9"/>
  <c r="E434" i="9" s="1"/>
  <c r="E457" i="9" s="1"/>
  <c r="F447" i="9"/>
  <c r="C444" i="9"/>
  <c r="C441" i="9"/>
  <c r="C439" i="9"/>
  <c r="F431" i="9"/>
  <c r="C421" i="9"/>
  <c r="I352" i="9"/>
  <c r="I360" i="9"/>
  <c r="C418" i="9"/>
  <c r="C416" i="9"/>
  <c r="H53" i="8"/>
  <c r="T123" i="2"/>
  <c r="U55" i="2"/>
  <c r="U100" i="2"/>
  <c r="U62" i="2"/>
  <c r="U61" i="2"/>
  <c r="U60" i="2"/>
  <c r="U59" i="2"/>
  <c r="U58" i="2"/>
  <c r="U57" i="2"/>
  <c r="U56" i="2"/>
  <c r="U53" i="2"/>
  <c r="F21" i="8"/>
  <c r="F20" i="8"/>
  <c r="F19" i="8"/>
  <c r="A19" i="8"/>
  <c r="A20" i="8" s="1"/>
  <c r="A21" i="8" s="1"/>
  <c r="C16" i="8"/>
  <c r="F16" i="8" s="1"/>
  <c r="F15" i="8"/>
  <c r="F14" i="8"/>
  <c r="F13" i="8"/>
  <c r="F12" i="8"/>
  <c r="A12" i="8"/>
  <c r="A13" i="8" s="1"/>
  <c r="A14" i="8" s="1"/>
  <c r="A15" i="8" s="1"/>
  <c r="A16" i="8" s="1"/>
  <c r="E505" i="9" l="1"/>
  <c r="E528" i="9" s="1"/>
  <c r="E551" i="9" s="1"/>
  <c r="E574" i="9" s="1"/>
  <c r="E597" i="9" s="1"/>
  <c r="E482" i="9"/>
  <c r="F482" i="9" s="1"/>
  <c r="E513" i="9"/>
  <c r="E536" i="9" s="1"/>
  <c r="E559" i="9" s="1"/>
  <c r="E582" i="9" s="1"/>
  <c r="E605" i="9" s="1"/>
  <c r="E490" i="9"/>
  <c r="F490" i="9" s="1"/>
  <c r="E504" i="9"/>
  <c r="E527" i="9" s="1"/>
  <c r="E550" i="9" s="1"/>
  <c r="E573" i="9" s="1"/>
  <c r="E596" i="9" s="1"/>
  <c r="F596" i="9" s="1"/>
  <c r="E481" i="9"/>
  <c r="F481" i="9" s="1"/>
  <c r="E503" i="9"/>
  <c r="E480" i="9"/>
  <c r="F480" i="9" s="1"/>
  <c r="G21" i="8"/>
  <c r="C129" i="9"/>
  <c r="F129" i="9" s="1"/>
  <c r="C131" i="9"/>
  <c r="F131" i="9" s="1"/>
  <c r="F128" i="9"/>
  <c r="F135" i="9" s="1"/>
  <c r="E47" i="8" s="1"/>
  <c r="F119" i="9"/>
  <c r="F117" i="9"/>
  <c r="F105" i="9"/>
  <c r="C108" i="9"/>
  <c r="F108" i="9" s="1"/>
  <c r="G16" i="8"/>
  <c r="F605" i="9"/>
  <c r="C574" i="9"/>
  <c r="F574" i="9" s="1"/>
  <c r="F582" i="9"/>
  <c r="F559" i="9"/>
  <c r="F573" i="9"/>
  <c r="C551" i="9"/>
  <c r="F551" i="9" s="1"/>
  <c r="F536" i="9"/>
  <c r="C528" i="9"/>
  <c r="F528" i="9" s="1"/>
  <c r="F503" i="9"/>
  <c r="E526" i="9"/>
  <c r="F527" i="9"/>
  <c r="C505" i="9"/>
  <c r="F505" i="9" s="1"/>
  <c r="F513" i="9"/>
  <c r="F444" i="9"/>
  <c r="F467" i="9"/>
  <c r="F504" i="9"/>
  <c r="C459" i="9"/>
  <c r="F459" i="9" s="1"/>
  <c r="F457" i="9"/>
  <c r="F434" i="9"/>
  <c r="F458" i="9"/>
  <c r="F435" i="9"/>
  <c r="C436" i="9"/>
  <c r="F436" i="9" s="1"/>
  <c r="J100" i="2"/>
  <c r="O100" i="2"/>
  <c r="O109" i="2" s="1"/>
  <c r="N100" i="2"/>
  <c r="I100" i="2"/>
  <c r="I62" i="2"/>
  <c r="I61" i="2"/>
  <c r="I60" i="2"/>
  <c r="I59" i="2"/>
  <c r="I58" i="2"/>
  <c r="I57" i="2"/>
  <c r="I56" i="2"/>
  <c r="I11" i="8"/>
  <c r="I14" i="8" s="1"/>
  <c r="F47" i="8" l="1"/>
  <c r="E57" i="8"/>
  <c r="F57" i="8" s="1"/>
  <c r="F123" i="9"/>
  <c r="E46" i="8" s="1"/>
  <c r="F111" i="9"/>
  <c r="E45" i="8" s="1"/>
  <c r="C597" i="9"/>
  <c r="F597" i="9" s="1"/>
  <c r="F550" i="9"/>
  <c r="F526" i="9"/>
  <c r="E549" i="9"/>
  <c r="M100" i="2"/>
  <c r="P100" i="2" s="1"/>
  <c r="Q100" i="2"/>
  <c r="S100" i="2" s="1"/>
  <c r="F105" i="8"/>
  <c r="A103" i="8"/>
  <c r="F102" i="8"/>
  <c r="E75" i="8"/>
  <c r="E74" i="8"/>
  <c r="C776" i="9"/>
  <c r="F776" i="9" s="1"/>
  <c r="F45" i="8" l="1"/>
  <c r="E55" i="8"/>
  <c r="F55" i="8" s="1"/>
  <c r="F46" i="8"/>
  <c r="E56" i="8"/>
  <c r="F56" i="8" s="1"/>
  <c r="F549" i="9"/>
  <c r="E572" i="9"/>
  <c r="F103" i="8"/>
  <c r="G103" i="8" s="1"/>
  <c r="F788" i="9"/>
  <c r="F787" i="9"/>
  <c r="F782" i="9"/>
  <c r="F781" i="9"/>
  <c r="F775" i="9"/>
  <c r="F778" i="9" s="1"/>
  <c r="C216" i="9"/>
  <c r="F216" i="9" s="1"/>
  <c r="F217" i="9"/>
  <c r="F264" i="7"/>
  <c r="C266" i="7"/>
  <c r="D260" i="7"/>
  <c r="D259" i="7"/>
  <c r="A259" i="7"/>
  <c r="A260" i="7" s="1"/>
  <c r="C254" i="7"/>
  <c r="H254" i="7" s="1"/>
  <c r="A253" i="7"/>
  <c r="A254" i="7" s="1"/>
  <c r="C248" i="7"/>
  <c r="C253" i="7" s="1"/>
  <c r="H253" i="7" s="1"/>
  <c r="I247" i="7"/>
  <c r="E259" i="7" s="1"/>
  <c r="A247" i="7"/>
  <c r="A248" i="7" s="1"/>
  <c r="C204" i="9"/>
  <c r="F205" i="9"/>
  <c r="F240" i="7"/>
  <c r="C224" i="7"/>
  <c r="C229" i="7" s="1"/>
  <c r="H229" i="7" s="1"/>
  <c r="C242" i="7"/>
  <c r="D236" i="7"/>
  <c r="D235" i="7"/>
  <c r="A235" i="7"/>
  <c r="A236" i="7" s="1"/>
  <c r="C230" i="7"/>
  <c r="H230" i="7" s="1"/>
  <c r="A229" i="7"/>
  <c r="A230" i="7" s="1"/>
  <c r="I223" i="7"/>
  <c r="E235" i="7" s="1"/>
  <c r="A223" i="7"/>
  <c r="A224" i="7" s="1"/>
  <c r="E189" i="9"/>
  <c r="E201" i="9" s="1"/>
  <c r="E213" i="9" s="1"/>
  <c r="F215" i="7"/>
  <c r="C181" i="9"/>
  <c r="F191" i="7"/>
  <c r="C193" i="7"/>
  <c r="D187" i="7"/>
  <c r="D186" i="7"/>
  <c r="D185" i="7"/>
  <c r="D184" i="7"/>
  <c r="A184" i="7"/>
  <c r="A186" i="7" s="1"/>
  <c r="H179" i="7"/>
  <c r="H178" i="7"/>
  <c r="H177" i="7"/>
  <c r="H176" i="7"/>
  <c r="A176" i="7"/>
  <c r="A177" i="7" s="1"/>
  <c r="A179" i="7" s="1"/>
  <c r="I171" i="7"/>
  <c r="E187" i="7" s="1"/>
  <c r="I170" i="7"/>
  <c r="E186" i="7" s="1"/>
  <c r="I169" i="7"/>
  <c r="E185" i="7" s="1"/>
  <c r="I168" i="7"/>
  <c r="E184" i="7" s="1"/>
  <c r="A168" i="7"/>
  <c r="A169" i="7" s="1"/>
  <c r="A171" i="7" s="1"/>
  <c r="A106" i="8"/>
  <c r="A107" i="8" s="1"/>
  <c r="A108" i="8" s="1"/>
  <c r="A109" i="8" s="1"/>
  <c r="F75" i="8"/>
  <c r="F74" i="8"/>
  <c r="G61" i="8" l="1"/>
  <c r="G51" i="8"/>
  <c r="F572" i="9"/>
  <c r="E595" i="9"/>
  <c r="F595" i="9" s="1"/>
  <c r="F790" i="9"/>
  <c r="E792" i="9" s="1"/>
  <c r="F792" i="9" s="1"/>
  <c r="F794" i="9" s="1"/>
  <c r="I248" i="7"/>
  <c r="E260" i="7" s="1"/>
  <c r="I260" i="7" s="1"/>
  <c r="E264" i="7" s="1"/>
  <c r="F784" i="9"/>
  <c r="I19" i="8"/>
  <c r="J14" i="8"/>
  <c r="C106" i="8"/>
  <c r="I259" i="7"/>
  <c r="D264" i="7" s="1"/>
  <c r="I235" i="7"/>
  <c r="D240" i="7" s="1"/>
  <c r="D242" i="7" s="1"/>
  <c r="I224" i="7"/>
  <c r="E236" i="7" s="1"/>
  <c r="I236" i="7" s="1"/>
  <c r="E240" i="7" s="1"/>
  <c r="I184" i="7"/>
  <c r="I185" i="7"/>
  <c r="I186" i="7"/>
  <c r="I187" i="7"/>
  <c r="A185" i="7"/>
  <c r="A187" i="7" s="1"/>
  <c r="A170" i="7"/>
  <c r="A178" i="7"/>
  <c r="C86" i="8"/>
  <c r="C84" i="8"/>
  <c r="C83" i="8"/>
  <c r="C82" i="8"/>
  <c r="F82" i="8" s="1"/>
  <c r="C79" i="8"/>
  <c r="C80" i="8" s="1"/>
  <c r="C78" i="8"/>
  <c r="E93" i="8"/>
  <c r="E92" i="8"/>
  <c r="E80" i="8"/>
  <c r="E91" i="8" s="1"/>
  <c r="E79" i="8"/>
  <c r="E90" i="8" s="1"/>
  <c r="E78" i="8"/>
  <c r="E89" i="8" s="1"/>
  <c r="C97" i="8"/>
  <c r="C95" i="8"/>
  <c r="C94" i="8"/>
  <c r="C93" i="8"/>
  <c r="C90" i="8"/>
  <c r="C89" i="8"/>
  <c r="A64" i="8"/>
  <c r="A73" i="8" s="1"/>
  <c r="A76" i="8" s="1"/>
  <c r="C762" i="9"/>
  <c r="C739" i="9"/>
  <c r="C756" i="9"/>
  <c r="C757" i="9" s="1"/>
  <c r="C766" i="9"/>
  <c r="C763" i="9"/>
  <c r="C761" i="9"/>
  <c r="F753" i="9"/>
  <c r="C733" i="9"/>
  <c r="C734" i="9" s="1"/>
  <c r="C743" i="9"/>
  <c r="C740" i="9"/>
  <c r="C738" i="9"/>
  <c r="F730" i="9"/>
  <c r="C716" i="9"/>
  <c r="C710" i="9"/>
  <c r="C711" i="9" s="1"/>
  <c r="C720" i="9"/>
  <c r="C717" i="9"/>
  <c r="C715" i="9"/>
  <c r="F707" i="9"/>
  <c r="C693" i="9"/>
  <c r="C687" i="9"/>
  <c r="C688" i="9" s="1"/>
  <c r="C697" i="9"/>
  <c r="C694" i="9"/>
  <c r="C692" i="9"/>
  <c r="F684" i="9"/>
  <c r="C670" i="9"/>
  <c r="C664" i="9"/>
  <c r="C665" i="9" s="1"/>
  <c r="C674" i="9"/>
  <c r="C671" i="9"/>
  <c r="C669" i="9"/>
  <c r="F661" i="9"/>
  <c r="C647" i="9"/>
  <c r="C641" i="9"/>
  <c r="C642" i="9" s="1"/>
  <c r="C651" i="9"/>
  <c r="C648" i="9"/>
  <c r="C646" i="9"/>
  <c r="F638" i="9"/>
  <c r="C624" i="9"/>
  <c r="C618" i="9"/>
  <c r="C619" i="9" s="1"/>
  <c r="E631" i="9"/>
  <c r="F631" i="9" s="1"/>
  <c r="E628" i="9"/>
  <c r="E651" i="9" s="1"/>
  <c r="E674" i="9" s="1"/>
  <c r="E697" i="9" s="1"/>
  <c r="E720" i="9" s="1"/>
  <c r="E743" i="9" s="1"/>
  <c r="E620" i="9"/>
  <c r="E643" i="9" s="1"/>
  <c r="E666" i="9" s="1"/>
  <c r="E689" i="9" s="1"/>
  <c r="E712" i="9" s="1"/>
  <c r="E735" i="9" s="1"/>
  <c r="E758" i="9" s="1"/>
  <c r="E619" i="9"/>
  <c r="E642" i="9" s="1"/>
  <c r="E665" i="9" s="1"/>
  <c r="E688" i="9" s="1"/>
  <c r="E711" i="9" s="1"/>
  <c r="E734" i="9" s="1"/>
  <c r="E757" i="9" s="1"/>
  <c r="E618" i="9"/>
  <c r="E641" i="9" s="1"/>
  <c r="E664" i="9" s="1"/>
  <c r="E687" i="9" s="1"/>
  <c r="E710" i="9" s="1"/>
  <c r="E733" i="9" s="1"/>
  <c r="E756" i="9" s="1"/>
  <c r="C628" i="9"/>
  <c r="C625" i="9"/>
  <c r="C623" i="9"/>
  <c r="F615" i="9"/>
  <c r="E167" i="9"/>
  <c r="E179" i="9" s="1"/>
  <c r="E191" i="9" s="1"/>
  <c r="E203" i="9" s="1"/>
  <c r="E215" i="9" s="1"/>
  <c r="E166" i="9"/>
  <c r="E178" i="9" s="1"/>
  <c r="E190" i="9" s="1"/>
  <c r="E202" i="9" s="1"/>
  <c r="E165" i="9"/>
  <c r="E164" i="9"/>
  <c r="E176" i="9" s="1"/>
  <c r="E188" i="9" s="1"/>
  <c r="E200" i="9" s="1"/>
  <c r="E212" i="9" s="1"/>
  <c r="F289" i="7"/>
  <c r="E143" i="9"/>
  <c r="E155" i="9" s="1"/>
  <c r="E142" i="9"/>
  <c r="E154" i="9" s="1"/>
  <c r="E140" i="9"/>
  <c r="E152" i="9" s="1"/>
  <c r="F161" i="7"/>
  <c r="F137" i="7"/>
  <c r="F424" i="9"/>
  <c r="F408" i="9"/>
  <c r="F796" i="9" l="1"/>
  <c r="E27" i="8" s="1"/>
  <c r="F27" i="8" s="1"/>
  <c r="A87" i="8"/>
  <c r="A98" i="8"/>
  <c r="A99" i="8" s="1"/>
  <c r="A100" i="8" s="1"/>
  <c r="F202" i="9"/>
  <c r="E214" i="9"/>
  <c r="F214" i="9" s="1"/>
  <c r="D266" i="7"/>
  <c r="I264" i="7"/>
  <c r="C212" i="9" s="1"/>
  <c r="C213" i="9" s="1"/>
  <c r="F743" i="9"/>
  <c r="E766" i="9"/>
  <c r="F766" i="9" s="1"/>
  <c r="F697" i="9"/>
  <c r="F674" i="9"/>
  <c r="E654" i="9"/>
  <c r="F720" i="9"/>
  <c r="F651" i="9"/>
  <c r="F628" i="9"/>
  <c r="I240" i="7"/>
  <c r="C200" i="9" s="1"/>
  <c r="C201" i="9" s="1"/>
  <c r="D191" i="7"/>
  <c r="D193" i="7" s="1"/>
  <c r="F80" i="8"/>
  <c r="F79" i="8"/>
  <c r="F78" i="8"/>
  <c r="F757" i="9"/>
  <c r="F756" i="9"/>
  <c r="C758" i="9"/>
  <c r="F758" i="9" s="1"/>
  <c r="F734" i="9"/>
  <c r="F733" i="9"/>
  <c r="C735" i="9"/>
  <c r="F735" i="9" s="1"/>
  <c r="F711" i="9"/>
  <c r="F710" i="9"/>
  <c r="C712" i="9"/>
  <c r="F712" i="9" s="1"/>
  <c r="F688" i="9"/>
  <c r="F687" i="9"/>
  <c r="C689" i="9"/>
  <c r="F689" i="9" s="1"/>
  <c r="F665" i="9"/>
  <c r="F664" i="9"/>
  <c r="C666" i="9"/>
  <c r="F666" i="9" s="1"/>
  <c r="F642" i="9"/>
  <c r="F641" i="9"/>
  <c r="C643" i="9"/>
  <c r="F643" i="9" s="1"/>
  <c r="F619" i="9"/>
  <c r="F618" i="9"/>
  <c r="F412" i="9"/>
  <c r="C413" i="9"/>
  <c r="F413" i="9" s="1"/>
  <c r="F421" i="9"/>
  <c r="F411" i="9"/>
  <c r="F212" i="9" l="1"/>
  <c r="C215" i="9"/>
  <c r="F215" i="9" s="1"/>
  <c r="F213" i="9"/>
  <c r="F201" i="9"/>
  <c r="C203" i="9"/>
  <c r="F203" i="9" s="1"/>
  <c r="F200" i="9"/>
  <c r="F654" i="9"/>
  <c r="E677" i="9"/>
  <c r="I191" i="7"/>
  <c r="C176" i="9" s="1"/>
  <c r="C620" i="9"/>
  <c r="F620" i="9" s="1"/>
  <c r="F219" i="9" l="1"/>
  <c r="E86" i="8" s="1"/>
  <c r="F677" i="9"/>
  <c r="E700" i="9"/>
  <c r="C399" i="9"/>
  <c r="F399" i="9" s="1"/>
  <c r="C400" i="9"/>
  <c r="F400" i="9" s="1"/>
  <c r="C397" i="9"/>
  <c r="F397" i="9" s="1"/>
  <c r="C396" i="9"/>
  <c r="F396" i="9" s="1"/>
  <c r="E394" i="9"/>
  <c r="E395" i="9"/>
  <c r="C393" i="9"/>
  <c r="C394" i="9" s="1"/>
  <c r="F402" i="9"/>
  <c r="F401" i="9"/>
  <c r="F392" i="9"/>
  <c r="C114" i="8"/>
  <c r="F114" i="8" s="1"/>
  <c r="F700" i="9" l="1"/>
  <c r="E723" i="9"/>
  <c r="C398" i="9"/>
  <c r="F398" i="9" s="1"/>
  <c r="C395" i="9"/>
  <c r="F395" i="9" s="1"/>
  <c r="F394" i="9"/>
  <c r="F393" i="9"/>
  <c r="F93" i="8"/>
  <c r="C91" i="8"/>
  <c r="F723" i="9" l="1"/>
  <c r="E746" i="9"/>
  <c r="F404" i="9"/>
  <c r="F89" i="8"/>
  <c r="F91" i="8"/>
  <c r="F90" i="8"/>
  <c r="F746" i="9" l="1"/>
  <c r="E769" i="9"/>
  <c r="F769" i="9" s="1"/>
  <c r="A32" i="8"/>
  <c r="A33" i="8" s="1"/>
  <c r="A34" i="8" s="1"/>
  <c r="A35" i="8" s="1"/>
  <c r="H123" i="2"/>
  <c r="F32" i="8" s="1"/>
  <c r="G123" i="2"/>
  <c r="O62" i="2"/>
  <c r="Q62" i="2" s="1"/>
  <c r="N62" i="2"/>
  <c r="J62" i="2"/>
  <c r="K62" i="2" s="1"/>
  <c r="O61" i="2"/>
  <c r="Q61" i="2" s="1"/>
  <c r="N61" i="2"/>
  <c r="J61" i="2"/>
  <c r="K61" i="2" s="1"/>
  <c r="O60" i="2"/>
  <c r="Q60" i="2" s="1"/>
  <c r="N60" i="2"/>
  <c r="J60" i="2"/>
  <c r="K60" i="2" s="1"/>
  <c r="I53" i="2"/>
  <c r="J59" i="2"/>
  <c r="J58" i="2"/>
  <c r="K58" i="2" s="1"/>
  <c r="J57" i="2"/>
  <c r="J56" i="2"/>
  <c r="K56" i="2" s="1"/>
  <c r="J55" i="2"/>
  <c r="I55" i="2"/>
  <c r="J53" i="2"/>
  <c r="O59" i="2"/>
  <c r="N59" i="2"/>
  <c r="O58" i="2"/>
  <c r="Q58" i="2" s="1"/>
  <c r="N58" i="2"/>
  <c r="O57" i="2"/>
  <c r="Q57" i="2" s="1"/>
  <c r="N57" i="2"/>
  <c r="O56" i="2"/>
  <c r="Q56" i="2" s="1"/>
  <c r="N56" i="2"/>
  <c r="O55" i="2"/>
  <c r="Q55" i="2" s="1"/>
  <c r="N55" i="2"/>
  <c r="Q59" i="2" l="1"/>
  <c r="S59" i="2" s="1"/>
  <c r="O108" i="2"/>
  <c r="K53" i="2"/>
  <c r="M53" i="2" s="1"/>
  <c r="K55" i="2"/>
  <c r="M55" i="2" s="1"/>
  <c r="P55" i="2" s="1"/>
  <c r="K57" i="2"/>
  <c r="M57" i="2" s="1"/>
  <c r="P57" i="2" s="1"/>
  <c r="K59" i="2"/>
  <c r="M59" i="2" s="1"/>
  <c r="P59" i="2" s="1"/>
  <c r="F106" i="8"/>
  <c r="F109" i="8"/>
  <c r="F38" i="8"/>
  <c r="M56" i="2"/>
  <c r="P56" i="2" s="1"/>
  <c r="M62" i="2"/>
  <c r="P62" i="2" s="1"/>
  <c r="S62" i="2"/>
  <c r="M61" i="2"/>
  <c r="P61" i="2" s="1"/>
  <c r="S61" i="2"/>
  <c r="M60" i="2"/>
  <c r="P60" i="2" s="1"/>
  <c r="S60" i="2"/>
  <c r="M58" i="2"/>
  <c r="P58" i="2" s="1"/>
  <c r="S55" i="2"/>
  <c r="S57" i="2"/>
  <c r="S58" i="2"/>
  <c r="S56" i="2"/>
  <c r="G109" i="8" l="1"/>
  <c r="E375" i="9"/>
  <c r="F375" i="9" s="1"/>
  <c r="F381" i="9"/>
  <c r="F379" i="9"/>
  <c r="F377" i="9"/>
  <c r="A375" i="9"/>
  <c r="F383" i="9" l="1"/>
  <c r="F385" i="9" s="1"/>
  <c r="F388" i="9" s="1"/>
  <c r="F113" i="8"/>
  <c r="E228" i="9" l="1"/>
  <c r="C228" i="9"/>
  <c r="F229" i="9"/>
  <c r="F226" i="9"/>
  <c r="F193" i="9"/>
  <c r="C192" i="9"/>
  <c r="F190" i="9"/>
  <c r="E180" i="9"/>
  <c r="E192" i="9" s="1"/>
  <c r="F204" i="9" s="1"/>
  <c r="F207" i="9" s="1"/>
  <c r="E85" i="8" s="1"/>
  <c r="F313" i="7"/>
  <c r="C315" i="7"/>
  <c r="D309" i="7"/>
  <c r="D308" i="7"/>
  <c r="A308" i="7"/>
  <c r="A309" i="7" s="1"/>
  <c r="C303" i="7"/>
  <c r="H303" i="7" s="1"/>
  <c r="C302" i="7"/>
  <c r="H302" i="7" s="1"/>
  <c r="A302" i="7"/>
  <c r="A303" i="7" s="1"/>
  <c r="I297" i="7"/>
  <c r="E309" i="7" s="1"/>
  <c r="I296" i="7"/>
  <c r="E308" i="7" s="1"/>
  <c r="A296" i="7"/>
  <c r="A297" i="7" s="1"/>
  <c r="F181" i="9"/>
  <c r="F178" i="9"/>
  <c r="C168" i="9"/>
  <c r="F168" i="9" s="1"/>
  <c r="C278" i="7"/>
  <c r="H278" i="7" s="1"/>
  <c r="C279" i="7"/>
  <c r="H279" i="7" s="1"/>
  <c r="C291" i="7"/>
  <c r="D285" i="7"/>
  <c r="D284" i="7"/>
  <c r="A284" i="7"/>
  <c r="A285" i="7" s="1"/>
  <c r="A278" i="7"/>
  <c r="A279" i="7" s="1"/>
  <c r="I273" i="7"/>
  <c r="E285" i="7" s="1"/>
  <c r="I272" i="7"/>
  <c r="E284" i="7" s="1"/>
  <c r="A272" i="7"/>
  <c r="A273" i="7" s="1"/>
  <c r="F169" i="9"/>
  <c r="F166" i="9"/>
  <c r="C217" i="7"/>
  <c r="D211" i="7"/>
  <c r="D210" i="7"/>
  <c r="A210" i="7"/>
  <c r="A211" i="7" s="1"/>
  <c r="C205" i="7"/>
  <c r="H205" i="7" s="1"/>
  <c r="C204" i="7"/>
  <c r="H204" i="7" s="1"/>
  <c r="A204" i="7"/>
  <c r="A205" i="7" s="1"/>
  <c r="I199" i="7"/>
  <c r="E211" i="7" s="1"/>
  <c r="I198" i="7"/>
  <c r="E210" i="7" s="1"/>
  <c r="A198" i="7"/>
  <c r="A199" i="7" s="1"/>
  <c r="F157" i="9"/>
  <c r="C156" i="9"/>
  <c r="F156" i="9" s="1"/>
  <c r="F154" i="9"/>
  <c r="C144" i="9"/>
  <c r="C151" i="7"/>
  <c r="C150" i="7"/>
  <c r="C98" i="9"/>
  <c r="D133" i="7"/>
  <c r="D131" i="7"/>
  <c r="C125" i="7"/>
  <c r="H125" i="7" s="1"/>
  <c r="C123" i="7"/>
  <c r="H123" i="7" s="1"/>
  <c r="I117" i="7"/>
  <c r="E133" i="7" s="1"/>
  <c r="I115" i="7"/>
  <c r="E131" i="7" s="1"/>
  <c r="E96" i="8" l="1"/>
  <c r="F96" i="8" s="1"/>
  <c r="F85" i="8"/>
  <c r="I131" i="7"/>
  <c r="I133" i="7"/>
  <c r="F228" i="9"/>
  <c r="F192" i="9"/>
  <c r="F180" i="9"/>
  <c r="I309" i="7"/>
  <c r="E313" i="7" s="1"/>
  <c r="I308" i="7"/>
  <c r="D313" i="7" s="1"/>
  <c r="D315" i="7" s="1"/>
  <c r="I285" i="7"/>
  <c r="E289" i="7" s="1"/>
  <c r="I284" i="7"/>
  <c r="D289" i="7" s="1"/>
  <c r="I211" i="7"/>
  <c r="E215" i="7" s="1"/>
  <c r="I210" i="7"/>
  <c r="D215" i="7" s="1"/>
  <c r="E97" i="8" l="1"/>
  <c r="F97" i="8" s="1"/>
  <c r="F86" i="8"/>
  <c r="I313" i="7"/>
  <c r="D291" i="7"/>
  <c r="I289" i="7"/>
  <c r="C164" i="9" s="1"/>
  <c r="D217" i="7"/>
  <c r="I215" i="7"/>
  <c r="C152" i="9" l="1"/>
  <c r="C153" i="9" s="1"/>
  <c r="C188" i="9"/>
  <c r="C177" i="9"/>
  <c r="F176" i="9"/>
  <c r="C224" i="9"/>
  <c r="F164" i="9"/>
  <c r="C165" i="9"/>
  <c r="F152" i="9" l="1"/>
  <c r="F165" i="9"/>
  <c r="C167" i="9"/>
  <c r="F167" i="9" s="1"/>
  <c r="C225" i="9"/>
  <c r="F224" i="9"/>
  <c r="F188" i="9"/>
  <c r="C189" i="9"/>
  <c r="F153" i="9"/>
  <c r="C155" i="9"/>
  <c r="F155" i="9" s="1"/>
  <c r="F177" i="9"/>
  <c r="C179" i="9"/>
  <c r="F179" i="9" s="1"/>
  <c r="S17" i="2"/>
  <c r="S27" i="2" s="1"/>
  <c r="D17" i="2"/>
  <c r="D27" i="2" s="1"/>
  <c r="Z15" i="2"/>
  <c r="Y15" i="2"/>
  <c r="X15" i="2"/>
  <c r="V15" i="2"/>
  <c r="AB15" i="2" s="1"/>
  <c r="K15" i="2"/>
  <c r="J15" i="2"/>
  <c r="I15" i="2"/>
  <c r="G15" i="2"/>
  <c r="M15" i="2" s="1"/>
  <c r="Z14" i="2"/>
  <c r="Y14" i="2"/>
  <c r="X14" i="2"/>
  <c r="V14" i="2"/>
  <c r="AB14" i="2" s="1"/>
  <c r="K14" i="2"/>
  <c r="J14" i="2"/>
  <c r="I14" i="2"/>
  <c r="G14" i="2"/>
  <c r="M14" i="2" s="1"/>
  <c r="Z13" i="2"/>
  <c r="Y13" i="2"/>
  <c r="X13" i="2"/>
  <c r="V13" i="2"/>
  <c r="AB13" i="2" s="1"/>
  <c r="K13" i="2"/>
  <c r="J13" i="2"/>
  <c r="I13" i="2"/>
  <c r="G13" i="2"/>
  <c r="M13" i="2" s="1"/>
  <c r="Z12" i="2"/>
  <c r="Y12" i="2"/>
  <c r="X12" i="2"/>
  <c r="V12" i="2"/>
  <c r="AB12" i="2" s="1"/>
  <c r="K12" i="2"/>
  <c r="J12" i="2"/>
  <c r="I12" i="2"/>
  <c r="G12" i="2"/>
  <c r="M12" i="2" s="1"/>
  <c r="Z11" i="2"/>
  <c r="Y11" i="2"/>
  <c r="X11" i="2"/>
  <c r="V11" i="2"/>
  <c r="AB11" i="2" s="1"/>
  <c r="K11" i="2"/>
  <c r="J11" i="2"/>
  <c r="I11" i="2"/>
  <c r="G11" i="2"/>
  <c r="M11" i="2" s="1"/>
  <c r="Z10" i="2"/>
  <c r="Y10" i="2"/>
  <c r="X10" i="2"/>
  <c r="V10" i="2"/>
  <c r="AB10" i="2" s="1"/>
  <c r="K10" i="2"/>
  <c r="J10" i="2"/>
  <c r="L10" i="2" s="1"/>
  <c r="I10" i="2"/>
  <c r="G10" i="2"/>
  <c r="M10" i="2" s="1"/>
  <c r="Z9" i="2"/>
  <c r="Y9" i="2"/>
  <c r="X9" i="2"/>
  <c r="V9" i="2"/>
  <c r="AB9" i="2" s="1"/>
  <c r="K9" i="2"/>
  <c r="J9" i="2"/>
  <c r="I9" i="2"/>
  <c r="G9" i="2"/>
  <c r="M9" i="2" s="1"/>
  <c r="Z8" i="2"/>
  <c r="Y8" i="2"/>
  <c r="X8" i="2"/>
  <c r="V8" i="2"/>
  <c r="AB8" i="2" s="1"/>
  <c r="P8" i="2"/>
  <c r="P9" i="2" s="1"/>
  <c r="P10" i="2" s="1"/>
  <c r="P11" i="2" s="1"/>
  <c r="P12" i="2" s="1"/>
  <c r="P13" i="2" s="1"/>
  <c r="P14" i="2" s="1"/>
  <c r="P15" i="2" s="1"/>
  <c r="K8" i="2"/>
  <c r="J8" i="2"/>
  <c r="I8" i="2"/>
  <c r="G8" i="2"/>
  <c r="M8" i="2" s="1"/>
  <c r="A8" i="2"/>
  <c r="A9" i="2" s="1"/>
  <c r="A10" i="2" s="1"/>
  <c r="A11" i="2" s="1"/>
  <c r="A12" i="2" s="1"/>
  <c r="A13" i="2" s="1"/>
  <c r="A14" i="2" s="1"/>
  <c r="A15" i="2" s="1"/>
  <c r="Z7" i="2"/>
  <c r="Y7" i="2"/>
  <c r="X7" i="2"/>
  <c r="V7" i="2"/>
  <c r="AB7" i="2" s="1"/>
  <c r="K7" i="2"/>
  <c r="J7" i="2"/>
  <c r="I7" i="2"/>
  <c r="G7" i="2"/>
  <c r="M7" i="2" s="1"/>
  <c r="Z17" i="2" l="1"/>
  <c r="Z27" i="2" s="1"/>
  <c r="AC8" i="2"/>
  <c r="N9" i="2"/>
  <c r="N11" i="2"/>
  <c r="AC11" i="2"/>
  <c r="N12" i="2"/>
  <c r="AC12" i="2"/>
  <c r="N13" i="2"/>
  <c r="N14" i="2"/>
  <c r="AC14" i="2"/>
  <c r="N15" i="2"/>
  <c r="F183" i="9"/>
  <c r="E83" i="8" s="1"/>
  <c r="N8" i="2"/>
  <c r="C191" i="9"/>
  <c r="F191" i="9" s="1"/>
  <c r="F189" i="9"/>
  <c r="F159" i="9"/>
  <c r="C227" i="9"/>
  <c r="F227" i="9" s="1"/>
  <c r="F225" i="9"/>
  <c r="F171" i="9"/>
  <c r="E418" i="9" s="1"/>
  <c r="E441" i="9" s="1"/>
  <c r="L8" i="2"/>
  <c r="O8" i="2" s="1"/>
  <c r="L9" i="2"/>
  <c r="O9" i="2" s="1"/>
  <c r="J17" i="2"/>
  <c r="J27" i="2" s="1"/>
  <c r="AC9" i="2"/>
  <c r="N10" i="2"/>
  <c r="AC10" i="2"/>
  <c r="L11" i="2"/>
  <c r="O11" i="2" s="1"/>
  <c r="AC13" i="2"/>
  <c r="L14" i="2"/>
  <c r="O14" i="2" s="1"/>
  <c r="AC15" i="2"/>
  <c r="L13" i="2"/>
  <c r="O13" i="2" s="1"/>
  <c r="L15" i="2"/>
  <c r="O15" i="2" s="1"/>
  <c r="K17" i="2"/>
  <c r="K27" i="2" s="1"/>
  <c r="L12" i="2"/>
  <c r="O12" i="2" s="1"/>
  <c r="O10" i="2"/>
  <c r="M17" i="2"/>
  <c r="M27" i="2" s="1"/>
  <c r="N7" i="2"/>
  <c r="AB17" i="2"/>
  <c r="AB27" i="2" s="1"/>
  <c r="AC7" i="2"/>
  <c r="L7" i="2"/>
  <c r="O7" i="2" s="1"/>
  <c r="AA8" i="2"/>
  <c r="AD8" i="2" s="1"/>
  <c r="AA9" i="2"/>
  <c r="AD9" i="2" s="1"/>
  <c r="AA11" i="2"/>
  <c r="AD11" i="2" s="1"/>
  <c r="AA12" i="2"/>
  <c r="AD12" i="2" s="1"/>
  <c r="AA13" i="2"/>
  <c r="AD13" i="2" s="1"/>
  <c r="AA14" i="2"/>
  <c r="AD14" i="2" s="1"/>
  <c r="AA15" i="2"/>
  <c r="AD15" i="2" s="1"/>
  <c r="Y17" i="2"/>
  <c r="AA7" i="2"/>
  <c r="AA10" i="2"/>
  <c r="AD10" i="2" s="1"/>
  <c r="E464" i="9" l="1"/>
  <c r="E487" i="9" s="1"/>
  <c r="F487" i="9" s="1"/>
  <c r="F441" i="9"/>
  <c r="E94" i="8"/>
  <c r="F94" i="8" s="1"/>
  <c r="F83" i="8"/>
  <c r="F418" i="9"/>
  <c r="E625" i="9"/>
  <c r="AC17" i="2"/>
  <c r="AC27" i="2" s="1"/>
  <c r="F195" i="9"/>
  <c r="E84" i="8" s="1"/>
  <c r="F231" i="9"/>
  <c r="AA17" i="2"/>
  <c r="AA27" i="2" s="1"/>
  <c r="L17" i="2"/>
  <c r="L27" i="2" s="1"/>
  <c r="N27" i="2" s="1"/>
  <c r="N17" i="2"/>
  <c r="O17" i="2"/>
  <c r="O27" i="2" s="1"/>
  <c r="L19" i="2"/>
  <c r="AA19" i="2"/>
  <c r="Y27" i="2"/>
  <c r="AD7" i="2"/>
  <c r="AD17" i="2" s="1"/>
  <c r="AD27" i="2" s="1"/>
  <c r="J37" i="2"/>
  <c r="J36" i="2"/>
  <c r="J35" i="2"/>
  <c r="J34" i="2"/>
  <c r="J33" i="2"/>
  <c r="J32" i="2"/>
  <c r="J31" i="2"/>
  <c r="J30" i="2"/>
  <c r="J29" i="2"/>
  <c r="F464" i="9" l="1"/>
  <c r="E510" i="9"/>
  <c r="E95" i="8"/>
  <c r="F95" i="8" s="1"/>
  <c r="F84" i="8"/>
  <c r="F625" i="9"/>
  <c r="E648" i="9"/>
  <c r="Y37" i="2"/>
  <c r="Y36" i="2"/>
  <c r="Y35" i="2"/>
  <c r="Y34" i="2"/>
  <c r="Y33" i="2"/>
  <c r="Y32" i="2"/>
  <c r="Y31" i="2"/>
  <c r="Y30" i="2"/>
  <c r="Y29" i="2"/>
  <c r="F510" i="9" l="1"/>
  <c r="E533" i="9"/>
  <c r="F648" i="9"/>
  <c r="E671" i="9"/>
  <c r="R105" i="2"/>
  <c r="F533" i="9" l="1"/>
  <c r="E556" i="9"/>
  <c r="E694" i="9"/>
  <c r="F671" i="9"/>
  <c r="N104" i="2"/>
  <c r="O104" i="2"/>
  <c r="Q104" i="2" s="1"/>
  <c r="F556" i="9" l="1"/>
  <c r="E579" i="9"/>
  <c r="F694" i="9"/>
  <c r="E717" i="9"/>
  <c r="M104" i="2"/>
  <c r="P104" i="2" s="1"/>
  <c r="S104" i="2"/>
  <c r="C358" i="9"/>
  <c r="C359" i="9" s="1"/>
  <c r="F359" i="9" s="1"/>
  <c r="F361" i="9"/>
  <c r="U104" i="2" l="1"/>
  <c r="U105" i="2" s="1"/>
  <c r="F579" i="9"/>
  <c r="E602" i="9"/>
  <c r="F602" i="9" s="1"/>
  <c r="E740" i="9"/>
  <c r="F717" i="9"/>
  <c r="C363" i="9"/>
  <c r="F363" i="9" s="1"/>
  <c r="C360" i="9"/>
  <c r="F358" i="9"/>
  <c r="F740" i="9" l="1"/>
  <c r="E763" i="9"/>
  <c r="F763" i="9" s="1"/>
  <c r="F360" i="9"/>
  <c r="C362" i="9"/>
  <c r="F362" i="9" s="1"/>
  <c r="C241" i="9"/>
  <c r="F241" i="9" s="1"/>
  <c r="C240" i="9"/>
  <c r="F53" i="9"/>
  <c r="F50" i="9"/>
  <c r="F49" i="9"/>
  <c r="F48" i="9"/>
  <c r="F44" i="9"/>
  <c r="F45" i="9"/>
  <c r="C42" i="9"/>
  <c r="F42" i="9" s="1"/>
  <c r="F365" i="9" l="1"/>
  <c r="F369" i="9" s="1"/>
  <c r="F240" i="9"/>
  <c r="C43" i="9"/>
  <c r="F43" i="9" s="1"/>
  <c r="C41" i="9"/>
  <c r="F41" i="9" s="1"/>
  <c r="F54" i="9" l="1"/>
  <c r="C35" i="9"/>
  <c r="C36" i="9" s="1"/>
  <c r="C31" i="9"/>
  <c r="C32" i="9" s="1"/>
  <c r="C33" i="9"/>
  <c r="C34" i="9"/>
  <c r="F34" i="9" s="1"/>
  <c r="E296" i="9"/>
  <c r="F296" i="9" s="1"/>
  <c r="E320" i="9"/>
  <c r="F320" i="9" s="1"/>
  <c r="F349" i="9"/>
  <c r="F347" i="9"/>
  <c r="F345" i="9"/>
  <c r="F344" i="9"/>
  <c r="F343" i="9"/>
  <c r="C338" i="9"/>
  <c r="F338" i="9" s="1"/>
  <c r="C337" i="9"/>
  <c r="F337" i="9" s="1"/>
  <c r="F334" i="9"/>
  <c r="F325" i="9"/>
  <c r="F323" i="9"/>
  <c r="F321" i="9"/>
  <c r="F319" i="9"/>
  <c r="C314" i="9"/>
  <c r="F314" i="9" s="1"/>
  <c r="C313" i="9"/>
  <c r="F313" i="9" s="1"/>
  <c r="F310" i="9"/>
  <c r="F301" i="9"/>
  <c r="F299" i="9"/>
  <c r="F297" i="9"/>
  <c r="F295" i="9"/>
  <c r="C290" i="9"/>
  <c r="F290" i="9" s="1"/>
  <c r="C289" i="9"/>
  <c r="F289" i="9" s="1"/>
  <c r="F286" i="9"/>
  <c r="C251" i="9"/>
  <c r="C252" i="9" s="1"/>
  <c r="F252" i="9" s="1"/>
  <c r="C250" i="9"/>
  <c r="F250" i="9" s="1"/>
  <c r="F253" i="9"/>
  <c r="F254" i="9"/>
  <c r="C248" i="9"/>
  <c r="C249" i="9" s="1"/>
  <c r="F249" i="9" s="1"/>
  <c r="F276" i="9"/>
  <c r="F278" i="9"/>
  <c r="F272" i="9"/>
  <c r="F273" i="9"/>
  <c r="F274" i="9"/>
  <c r="F251" i="9" l="1"/>
  <c r="F248" i="9"/>
  <c r="C339" i="9"/>
  <c r="F339" i="9" s="1"/>
  <c r="C315" i="9"/>
  <c r="F315" i="9" s="1"/>
  <c r="C291" i="9"/>
  <c r="F291" i="9" s="1"/>
  <c r="C242" i="9"/>
  <c r="F242" i="9" s="1"/>
  <c r="I114" i="7"/>
  <c r="C239" i="9"/>
  <c r="C238" i="9"/>
  <c r="C235" i="9"/>
  <c r="C237" i="9" s="1"/>
  <c r="F237" i="9" s="1"/>
  <c r="F142" i="9"/>
  <c r="F144" i="9"/>
  <c r="F145" i="9"/>
  <c r="F96" i="9"/>
  <c r="F97" i="9"/>
  <c r="F98" i="9"/>
  <c r="F99" i="9"/>
  <c r="F256" i="9" l="1"/>
  <c r="F258" i="9" s="1"/>
  <c r="E351" i="9" s="1"/>
  <c r="F351" i="9" s="1"/>
  <c r="C340" i="9"/>
  <c r="F340" i="9" s="1"/>
  <c r="C316" i="9"/>
  <c r="F316" i="9" s="1"/>
  <c r="C292" i="9"/>
  <c r="F292" i="9" s="1"/>
  <c r="F235" i="9"/>
  <c r="F281" i="9"/>
  <c r="C236" i="9"/>
  <c r="F236" i="9" s="1"/>
  <c r="E327" i="9" l="1"/>
  <c r="F327" i="9" s="1"/>
  <c r="F329" i="9" s="1"/>
  <c r="F353" i="9"/>
  <c r="E303" i="9"/>
  <c r="F303" i="9" s="1"/>
  <c r="F305" i="9" s="1"/>
  <c r="C86" i="9"/>
  <c r="F86" i="9" s="1"/>
  <c r="C87" i="9"/>
  <c r="F87" i="9" s="1"/>
  <c r="C80" i="9"/>
  <c r="C82" i="9" s="1"/>
  <c r="F82" i="9" s="1"/>
  <c r="H58" i="9"/>
  <c r="F81" i="9"/>
  <c r="F80" i="9" l="1"/>
  <c r="F89" i="9" s="1"/>
  <c r="F91" i="9" s="1"/>
  <c r="C69" i="9"/>
  <c r="F69" i="9" s="1"/>
  <c r="C68" i="9"/>
  <c r="F68" i="9" s="1"/>
  <c r="C67" i="9"/>
  <c r="F67" i="9" s="1"/>
  <c r="C66" i="9"/>
  <c r="F66" i="9" s="1"/>
  <c r="C65" i="9"/>
  <c r="F65" i="9" s="1"/>
  <c r="C64" i="9"/>
  <c r="F64" i="9" s="1"/>
  <c r="C61" i="9"/>
  <c r="C62" i="9" s="1"/>
  <c r="C63" i="9"/>
  <c r="F63" i="9" s="1"/>
  <c r="F73" i="9"/>
  <c r="F72" i="9"/>
  <c r="F71" i="9"/>
  <c r="F70" i="9"/>
  <c r="F60" i="9"/>
  <c r="F61" i="9" l="1"/>
  <c r="F62" i="9"/>
  <c r="F75" i="9" l="1"/>
  <c r="F32" i="9"/>
  <c r="F33" i="9"/>
  <c r="F35" i="9"/>
  <c r="F36" i="9"/>
  <c r="F37" i="9"/>
  <c r="F31" i="9"/>
  <c r="F38" i="9" l="1"/>
  <c r="F56" i="9" l="1"/>
  <c r="H150" i="7" l="1"/>
  <c r="I116" i="7"/>
  <c r="D157" i="7" l="1"/>
  <c r="D156" i="7"/>
  <c r="A156" i="7"/>
  <c r="A157" i="7" s="1"/>
  <c r="H151" i="7"/>
  <c r="A150" i="7"/>
  <c r="A151" i="7" s="1"/>
  <c r="I145" i="7"/>
  <c r="E157" i="7" s="1"/>
  <c r="I144" i="7"/>
  <c r="E156" i="7" s="1"/>
  <c r="A144" i="7"/>
  <c r="A145" i="7" s="1"/>
  <c r="C139" i="7"/>
  <c r="J29" i="7"/>
  <c r="D132" i="7"/>
  <c r="D130" i="7"/>
  <c r="A130" i="7"/>
  <c r="C124" i="7"/>
  <c r="H124" i="7" s="1"/>
  <c r="C122" i="7"/>
  <c r="H122" i="7" s="1"/>
  <c r="A122" i="7"/>
  <c r="E132" i="7"/>
  <c r="E130" i="7"/>
  <c r="A114" i="7"/>
  <c r="A132" i="7" l="1"/>
  <c r="A131" i="7"/>
  <c r="A133" i="7" s="1"/>
  <c r="A116" i="7"/>
  <c r="A115" i="7"/>
  <c r="A117" i="7" s="1"/>
  <c r="A124" i="7"/>
  <c r="A123" i="7"/>
  <c r="A125" i="7" s="1"/>
  <c r="I132" i="7"/>
  <c r="I157" i="7"/>
  <c r="I156" i="7"/>
  <c r="I130" i="7"/>
  <c r="D137" i="7" l="1"/>
  <c r="D139" i="7" s="1"/>
  <c r="D161" i="7"/>
  <c r="I161" i="7" s="1"/>
  <c r="C140" i="9" s="1"/>
  <c r="C163" i="7"/>
  <c r="J49" i="7"/>
  <c r="F140" i="9" l="1"/>
  <c r="C141" i="9"/>
  <c r="D163" i="7"/>
  <c r="J30" i="7"/>
  <c r="I137" i="7"/>
  <c r="C95" i="9" s="1"/>
  <c r="F95" i="9" s="1"/>
  <c r="F101" i="9" s="1"/>
  <c r="E416" i="9" s="1"/>
  <c r="E439" i="9" s="1"/>
  <c r="E462" i="9" l="1"/>
  <c r="E485" i="9" s="1"/>
  <c r="F485" i="9" s="1"/>
  <c r="F439" i="9"/>
  <c r="F416" i="9"/>
  <c r="E623" i="9"/>
  <c r="E238" i="9"/>
  <c r="F238" i="9" s="1"/>
  <c r="F141" i="9"/>
  <c r="C143" i="9"/>
  <c r="F143" i="9" s="1"/>
  <c r="F462" i="9" l="1"/>
  <c r="E508" i="9"/>
  <c r="E646" i="9"/>
  <c r="F623" i="9"/>
  <c r="F147" i="9"/>
  <c r="E417" i="9" s="1"/>
  <c r="F119" i="8"/>
  <c r="G119" i="8" s="1"/>
  <c r="F112" i="8"/>
  <c r="A112" i="8"/>
  <c r="A113" i="8" s="1"/>
  <c r="F111" i="8"/>
  <c r="F63" i="8"/>
  <c r="F37" i="8"/>
  <c r="F31" i="8"/>
  <c r="F30" i="8"/>
  <c r="A24" i="8"/>
  <c r="A25" i="8" s="1"/>
  <c r="A26" i="8" s="1"/>
  <c r="A27" i="8" s="1"/>
  <c r="A28" i="8" s="1"/>
  <c r="A29" i="8" s="1"/>
  <c r="F23" i="8"/>
  <c r="D129" i="2"/>
  <c r="F508" i="9" l="1"/>
  <c r="E531" i="9"/>
  <c r="E624" i="9"/>
  <c r="E647" i="9" s="1"/>
  <c r="E440" i="9"/>
  <c r="F417" i="9"/>
  <c r="F427" i="9" s="1"/>
  <c r="E65" i="8" s="1"/>
  <c r="E239" i="9"/>
  <c r="F239" i="9" s="1"/>
  <c r="F244" i="9" s="1"/>
  <c r="E669" i="9"/>
  <c r="F646" i="9"/>
  <c r="A114" i="8"/>
  <c r="A115" i="8" s="1"/>
  <c r="D130" i="2"/>
  <c r="E98" i="8" l="1"/>
  <c r="F98" i="8" s="1"/>
  <c r="F65" i="8"/>
  <c r="F531" i="9"/>
  <c r="E554" i="9"/>
  <c r="F624" i="9"/>
  <c r="F634" i="9" s="1"/>
  <c r="E463" i="9"/>
  <c r="E486" i="9" s="1"/>
  <c r="F486" i="9" s="1"/>
  <c r="F496" i="9" s="1"/>
  <c r="E68" i="8" s="1"/>
  <c r="F68" i="8" s="1"/>
  <c r="F440" i="9"/>
  <c r="F450" i="9" s="1"/>
  <c r="E66" i="8" s="1"/>
  <c r="F66" i="8" s="1"/>
  <c r="E692" i="9"/>
  <c r="F669" i="9"/>
  <c r="E670" i="9"/>
  <c r="F647" i="9"/>
  <c r="F657" i="9" s="1"/>
  <c r="F554" i="9" l="1"/>
  <c r="E577" i="9"/>
  <c r="F463" i="9"/>
  <c r="F473" i="9" s="1"/>
  <c r="E67" i="8" s="1"/>
  <c r="F67" i="8" s="1"/>
  <c r="E509" i="9"/>
  <c r="E715" i="9"/>
  <c r="F692" i="9"/>
  <c r="E693" i="9"/>
  <c r="F670" i="9"/>
  <c r="F680" i="9" s="1"/>
  <c r="O53" i="2"/>
  <c r="N53" i="2"/>
  <c r="M105" i="2"/>
  <c r="N105" i="2" l="1"/>
  <c r="N123" i="2" s="1"/>
  <c r="Q53" i="2"/>
  <c r="Q105" i="2" s="1"/>
  <c r="O107" i="2"/>
  <c r="O115" i="2" s="1"/>
  <c r="F577" i="9"/>
  <c r="E600" i="9"/>
  <c r="F600" i="9" s="1"/>
  <c r="F509" i="9"/>
  <c r="F519" i="9" s="1"/>
  <c r="E69" i="8" s="1"/>
  <c r="F69" i="8" s="1"/>
  <c r="E532" i="9"/>
  <c r="O105" i="2"/>
  <c r="O123" i="2" s="1"/>
  <c r="E738" i="9"/>
  <c r="F715" i="9"/>
  <c r="E716" i="9"/>
  <c r="F693" i="9"/>
  <c r="F703" i="9" s="1"/>
  <c r="M123" i="2"/>
  <c r="P53" i="2"/>
  <c r="P105" i="2" s="1"/>
  <c r="F117" i="8"/>
  <c r="G117" i="8" s="1"/>
  <c r="C24" i="8" l="1"/>
  <c r="C25" i="8"/>
  <c r="F25" i="8" s="1"/>
  <c r="F25" i="12"/>
  <c r="F24" i="11"/>
  <c r="O117" i="2"/>
  <c r="P123" i="2" s="1"/>
  <c r="Q123" i="2"/>
  <c r="F532" i="9"/>
  <c r="F542" i="9" s="1"/>
  <c r="E70" i="8" s="1"/>
  <c r="F70" i="8" s="1"/>
  <c r="E555" i="9"/>
  <c r="E739" i="9"/>
  <c r="F716" i="9"/>
  <c r="F726" i="9" s="1"/>
  <c r="E761" i="9"/>
  <c r="F761" i="9" s="1"/>
  <c r="F738" i="9"/>
  <c r="M131" i="2"/>
  <c r="M128" i="2"/>
  <c r="M127" i="2"/>
  <c r="M133" i="2"/>
  <c r="M126" i="2"/>
  <c r="M129" i="2"/>
  <c r="M132" i="2"/>
  <c r="M130" i="2"/>
  <c r="M125" i="2"/>
  <c r="F35" i="8"/>
  <c r="G35" i="8" s="1"/>
  <c r="F41" i="8"/>
  <c r="G41" i="8" s="1"/>
  <c r="S53" i="2"/>
  <c r="S105" i="2" s="1"/>
  <c r="S123" i="2" s="1"/>
  <c r="F115" i="8"/>
  <c r="F28" i="11" l="1"/>
  <c r="F23" i="11"/>
  <c r="C26" i="8"/>
  <c r="F29" i="12"/>
  <c r="F24" i="12"/>
  <c r="G115" i="8"/>
  <c r="F555" i="9"/>
  <c r="F565" i="9" s="1"/>
  <c r="E71" i="8" s="1"/>
  <c r="F71" i="8" s="1"/>
  <c r="E578" i="9"/>
  <c r="F26" i="8"/>
  <c r="C28" i="8"/>
  <c r="F28" i="8" s="1"/>
  <c r="F24" i="8"/>
  <c r="C29" i="8"/>
  <c r="E762" i="9"/>
  <c r="F762" i="9" s="1"/>
  <c r="F772" i="9" s="1"/>
  <c r="F739" i="9"/>
  <c r="F749" i="9" s="1"/>
  <c r="F25" i="11" l="1"/>
  <c r="F27" i="11"/>
  <c r="F28" i="12"/>
  <c r="F26" i="12"/>
  <c r="F578" i="9"/>
  <c r="F588" i="9" s="1"/>
  <c r="E72" i="8" s="1"/>
  <c r="F72" i="8" s="1"/>
  <c r="E601" i="9"/>
  <c r="F601" i="9" s="1"/>
  <c r="F611" i="9" s="1"/>
  <c r="F29" i="8"/>
  <c r="H121" i="8" s="1"/>
  <c r="G29" i="12" l="1"/>
  <c r="G92" i="12" s="1"/>
  <c r="G93" i="12" s="1"/>
  <c r="F95" i="12" s="1"/>
  <c r="G28" i="11"/>
  <c r="G97" i="11" s="1"/>
  <c r="G98" i="11" s="1"/>
  <c r="G100" i="8"/>
  <c r="H112" i="8"/>
  <c r="G29" i="8"/>
  <c r="H103" i="8"/>
  <c r="H75" i="8"/>
  <c r="G115" i="11" l="1"/>
  <c r="G123" i="11"/>
  <c r="F100" i="12"/>
  <c r="G110" i="12"/>
  <c r="F98" i="12"/>
  <c r="F97" i="12"/>
  <c r="F99" i="12"/>
  <c r="F96" i="12"/>
  <c r="G108" i="12"/>
  <c r="F103" i="11"/>
  <c r="F101" i="11"/>
  <c r="F104" i="11"/>
  <c r="G113" i="11"/>
  <c r="F105" i="11"/>
  <c r="F102" i="11"/>
  <c r="F100" i="11"/>
  <c r="G117" i="11" s="1"/>
  <c r="G112" i="12"/>
  <c r="G121" i="8"/>
  <c r="G122" i="8" s="1"/>
  <c r="G102" i="12" l="1"/>
  <c r="G104" i="12" s="1"/>
  <c r="G107" i="11"/>
  <c r="G109" i="11" s="1"/>
  <c r="G137" i="8"/>
  <c r="F126" i="8"/>
  <c r="F124" i="8"/>
  <c r="G139" i="8"/>
  <c r="F127" i="8"/>
  <c r="F125" i="8"/>
  <c r="F129" i="8"/>
  <c r="F128" i="8"/>
  <c r="G106" i="12" l="1"/>
  <c r="G118" i="12" s="1"/>
  <c r="G120" i="12" s="1"/>
  <c r="G111" i="11"/>
  <c r="G125" i="11" s="1"/>
  <c r="G141" i="8"/>
  <c r="G131" i="8"/>
  <c r="H122" i="12" l="1"/>
  <c r="G133" i="8"/>
  <c r="G135" i="8"/>
  <c r="G147" i="8" s="1"/>
  <c r="G149" i="8" l="1"/>
</calcChain>
</file>

<file path=xl/sharedStrings.xml><?xml version="1.0" encoding="utf-8"?>
<sst xmlns="http://schemas.openxmlformats.org/spreadsheetml/2006/main" count="2701" uniqueCount="518">
  <si>
    <t>TABLA PARA CÁLCULO DE VOLÚMENES</t>
  </si>
  <si>
    <t>AGUA POTABLE</t>
  </si>
  <si>
    <t>No.</t>
  </si>
  <si>
    <t>DIAM.(")</t>
  </si>
  <si>
    <t>TIPO TUB.</t>
  </si>
  <si>
    <t>LONGITUD</t>
  </si>
  <si>
    <t>ANCHO</t>
  </si>
  <si>
    <t>PROFUND.</t>
  </si>
  <si>
    <t>VOL. 'TUB.</t>
  </si>
  <si>
    <t>PERD. CAN.</t>
  </si>
  <si>
    <t>LOG. R</t>
  </si>
  <si>
    <t>EXC.</t>
  </si>
  <si>
    <t>A.A.</t>
  </si>
  <si>
    <t>RELL.</t>
  </si>
  <si>
    <t>MAT. R</t>
  </si>
  <si>
    <t>BOTE c r</t>
  </si>
  <si>
    <t>BOTE s r</t>
  </si>
  <si>
    <t>PVC</t>
  </si>
  <si>
    <t>TOTAL</t>
  </si>
  <si>
    <t>TOTALES:</t>
  </si>
  <si>
    <t>LONGITUD TOTAL</t>
  </si>
  <si>
    <t>%</t>
  </si>
  <si>
    <t>PEDRA</t>
  </si>
  <si>
    <t xml:space="preserve">ALCANTARILLADO SANITARIO </t>
  </si>
  <si>
    <t>REGISTRO</t>
  </si>
  <si>
    <t>COT. Te. i</t>
  </si>
  <si>
    <t>COT. Tu. i</t>
  </si>
  <si>
    <t>COT. Te. F</t>
  </si>
  <si>
    <t>COT. Tu. F</t>
  </si>
  <si>
    <t>Hi</t>
  </si>
  <si>
    <t>Hf</t>
  </si>
  <si>
    <t>Hp</t>
  </si>
  <si>
    <t>TUB.</t>
  </si>
  <si>
    <t xml:space="preserve">Rell </t>
  </si>
  <si>
    <t>Rell caliche</t>
  </si>
  <si>
    <t>Rell granzote</t>
  </si>
  <si>
    <t xml:space="preserve">BOTE </t>
  </si>
  <si>
    <t>H PIEDRAPLEN</t>
  </si>
  <si>
    <t>PIEDRAPLEN</t>
  </si>
  <si>
    <t>Cabezal-R1</t>
  </si>
  <si>
    <t>H A</t>
  </si>
  <si>
    <t>R1-R2</t>
  </si>
  <si>
    <t>R2-R3</t>
  </si>
  <si>
    <t>R3-R4</t>
  </si>
  <si>
    <t>R4-R5</t>
  </si>
  <si>
    <t>R5-R6</t>
  </si>
  <si>
    <t>R6-R7</t>
  </si>
  <si>
    <t>R7-R8</t>
  </si>
  <si>
    <t>R8-R9</t>
  </si>
  <si>
    <t>R9-R10</t>
  </si>
  <si>
    <t>R10-R11</t>
  </si>
  <si>
    <t>R11-R12</t>
  </si>
  <si>
    <t>R12-R13</t>
  </si>
  <si>
    <t>R13-R14</t>
  </si>
  <si>
    <t>R14-R15</t>
  </si>
  <si>
    <t>R15-R16</t>
  </si>
  <si>
    <t>R16-R17</t>
  </si>
  <si>
    <t>R17-R18</t>
  </si>
  <si>
    <t>R18-R19</t>
  </si>
  <si>
    <t>R19-R20</t>
  </si>
  <si>
    <t>R20-R21</t>
  </si>
  <si>
    <t>R21-R22</t>
  </si>
  <si>
    <t>R22-R23</t>
  </si>
  <si>
    <t>R23-R24</t>
  </si>
  <si>
    <t>R24-R25</t>
  </si>
  <si>
    <t>R25-R26</t>
  </si>
  <si>
    <t>R26-R27</t>
  </si>
  <si>
    <t>R27-R28</t>
  </si>
  <si>
    <t>R28-R29</t>
  </si>
  <si>
    <t>R29-R30</t>
  </si>
  <si>
    <t>R30-R31</t>
  </si>
  <si>
    <t>R31-R32</t>
  </si>
  <si>
    <t>R32-R33</t>
  </si>
  <si>
    <t>R33-R34</t>
  </si>
  <si>
    <t>R34-R35</t>
  </si>
  <si>
    <t>R35-R36</t>
  </si>
  <si>
    <t>R36-R37</t>
  </si>
  <si>
    <t>R37-R38</t>
  </si>
  <si>
    <t>R38-R39</t>
  </si>
  <si>
    <t>R39-R40</t>
  </si>
  <si>
    <t>R40-R41</t>
  </si>
  <si>
    <t>R41-R42</t>
  </si>
  <si>
    <t>R42-R43</t>
  </si>
  <si>
    <t>R43-R44</t>
  </si>
  <si>
    <t>R44-R45</t>
  </si>
  <si>
    <t>R45- Cajon</t>
  </si>
  <si>
    <t>Cabezal ent-Cabezal Sal</t>
  </si>
  <si>
    <t>CAJON SIMPLE</t>
  </si>
  <si>
    <t>CAJON DOBLE</t>
  </si>
  <si>
    <t>LONGITUD TOTAL Ø48" H A</t>
  </si>
  <si>
    <t>Vo. Tub 84</t>
  </si>
  <si>
    <t>Vo. Tub 72</t>
  </si>
  <si>
    <t>Vo. Tub 12</t>
  </si>
  <si>
    <t>LONGITUD TOTAL Ø60" H A</t>
  </si>
  <si>
    <t>Long. Cañada =</t>
  </si>
  <si>
    <t>Vo. Cajon</t>
  </si>
  <si>
    <t>LONGITUD TOTAL Ø80" H A</t>
  </si>
  <si>
    <t>Vo Total</t>
  </si>
  <si>
    <t>LONGITUD TOTAL Ø12" PVC</t>
  </si>
  <si>
    <t>TUBOS</t>
  </si>
  <si>
    <t>VOLUMENES TOTALES</t>
  </si>
  <si>
    <t>12 PVC</t>
  </si>
  <si>
    <t>24 Rib Loc</t>
  </si>
  <si>
    <t>30 Rib Loc</t>
  </si>
  <si>
    <t>36 Rib Loc</t>
  </si>
  <si>
    <t>RELL CALICHE</t>
  </si>
  <si>
    <t>BOTE</t>
  </si>
  <si>
    <t>VOL. PIEDRAPLEN</t>
  </si>
  <si>
    <t xml:space="preserve"> </t>
  </si>
  <si>
    <t>PROTECCION DE HORMIGON</t>
  </si>
  <si>
    <t>L</t>
  </si>
  <si>
    <t>H</t>
  </si>
  <si>
    <t>Ancho prom.</t>
  </si>
  <si>
    <t>M3</t>
  </si>
  <si>
    <t xml:space="preserve">CORPORACION DEL ACUEDUCTO Y ALCANTARILLADO DE SANTO DOMINGO </t>
  </si>
  <si>
    <t>***C.A.A.S.D.***</t>
  </si>
  <si>
    <t>Unidad Ejecutora de Proyectos</t>
  </si>
  <si>
    <t>2022-139 UEP (FASE B)</t>
  </si>
  <si>
    <t>PRESUPUESTO: SANEAMIENTO PLUVIAL Y SANITARIO  CAÑADA ARROYO MANZANO, PANTOJAS, LOS ALCARRIZOS. (FASE B).</t>
  </si>
  <si>
    <t>DESCRIPCION</t>
  </si>
  <si>
    <t>CANTIDAD</t>
  </si>
  <si>
    <t>UD</t>
  </si>
  <si>
    <t>P.U. RD$</t>
  </si>
  <si>
    <t>COSTO RD$</t>
  </si>
  <si>
    <t>SUB-TOTAL</t>
  </si>
  <si>
    <t>TRABAJOS GENERALES:</t>
  </si>
  <si>
    <t>Replanteo y control topográfico</t>
  </si>
  <si>
    <t>Meses</t>
  </si>
  <si>
    <t>Control de tránsito en vías existentes de acceso a la obra (cubicar desglosado).</t>
  </si>
  <si>
    <t>PA</t>
  </si>
  <si>
    <t>Construcción de accesos temporales.</t>
  </si>
  <si>
    <t>ML</t>
  </si>
  <si>
    <t>Oficina de campo / campamento obra (cubicar desglosado).</t>
  </si>
  <si>
    <t>Control de calidad (densidad de campo del relleno, y toma de muestras y rotura de probetas de hormigón).</t>
  </si>
  <si>
    <t>DEMOLICIONES:</t>
  </si>
  <si>
    <t>Limpieza, desmonte y destronque (cubicar desglosado).</t>
  </si>
  <si>
    <t>Estructuras existentes (cubicar desglosado).</t>
  </si>
  <si>
    <t>Bote de material (Cubicar desglosado).</t>
  </si>
  <si>
    <t>Viaje</t>
  </si>
  <si>
    <t>MOVIMIENTO DE TIERRA:</t>
  </si>
  <si>
    <t>Excavación con Retro Excavadora</t>
  </si>
  <si>
    <t>Asiento de Arena tuberías</t>
  </si>
  <si>
    <t>Suministro de material de relleno (Caliche)</t>
  </si>
  <si>
    <t>Suministro y colocación de Piedraplen</t>
  </si>
  <si>
    <t xml:space="preserve">Relleno compactado </t>
  </si>
  <si>
    <t>Bote de sobrantes (a 15 Km)</t>
  </si>
  <si>
    <t>SUMINISTRO DE TUBERIAS Y PIEZAS:</t>
  </si>
  <si>
    <t>Ø12" PVC - SDR - 32.5</t>
  </si>
  <si>
    <t>COLOCACION DE TUBERIAS:</t>
  </si>
  <si>
    <t>CONSTRUCCION DE CANAL TIPO CAJON SIMPLE EN HORMIGON ARMADO CON LOSA DE TECHO (CAJON 3.00 MTS de Ancho X 2.50 MTS de Altura Promedio)(500.00 ML):</t>
  </si>
  <si>
    <t>Hormigón de Nivelación, e = 0.05 mts (Horm. Simple)</t>
  </si>
  <si>
    <t xml:space="preserve">Losa Fondo, e= 0.30 Mts, </t>
  </si>
  <si>
    <t>Muros laterales, e=0.25 Mts</t>
  </si>
  <si>
    <t>Losa de Techo, e= 0.20 Mts,</t>
  </si>
  <si>
    <t>Pañete interior Pulido</t>
  </si>
  <si>
    <t>M2</t>
  </si>
  <si>
    <t>Zabaleta en losa de Fondo</t>
  </si>
  <si>
    <t>Fino Losa de Fondo</t>
  </si>
  <si>
    <t>Fino Losa de Techo</t>
  </si>
  <si>
    <t>CONSTRUCCION DE CANAL TIPO CAJON DOBLE EN HORMIGON ARMADO CON LOSA DE TECHO (CAJON 4.75 MTS de Ancho X 2.50 MTS de Altura Promedio)(1,000.00 ML):</t>
  </si>
  <si>
    <t xml:space="preserve">CONSTRUCCION DE: </t>
  </si>
  <si>
    <t>Registros de Ladrillos de:</t>
  </si>
  <si>
    <t>8.2.1</t>
  </si>
  <si>
    <t>3.01 mts a 4.00mts</t>
  </si>
  <si>
    <t>8.2.2</t>
  </si>
  <si>
    <t>4.01 mts a 5.00mts</t>
  </si>
  <si>
    <t>Cabezal de Salida:</t>
  </si>
  <si>
    <t>8.4.1</t>
  </si>
  <si>
    <t>Movimiento de Tierra:</t>
  </si>
  <si>
    <t>8.4.1.1</t>
  </si>
  <si>
    <t>8.4.1.2</t>
  </si>
  <si>
    <t xml:space="preserve">Suministro de material de relleno </t>
  </si>
  <si>
    <t>8.4.1.3</t>
  </si>
  <si>
    <t>8.4.2</t>
  </si>
  <si>
    <t>Hormigón Armado en:</t>
  </si>
  <si>
    <t>8.4.2.1</t>
  </si>
  <si>
    <t>8.4.2.2</t>
  </si>
  <si>
    <t>Losa Armada Para Asiento de Tubería (esp= 0.25m, )</t>
  </si>
  <si>
    <t>8.4.2.3</t>
  </si>
  <si>
    <t>Muro de cabezal  ( Lateral y Posterior)</t>
  </si>
  <si>
    <t>8.4.2.4</t>
  </si>
  <si>
    <t xml:space="preserve">Viga 0.25 X 0.80m </t>
  </si>
  <si>
    <t>8.4.2.5</t>
  </si>
  <si>
    <t xml:space="preserve">Viga 0.25 X 0.40m </t>
  </si>
  <si>
    <t xml:space="preserve">Imbornal de Tres Parrillas </t>
  </si>
  <si>
    <t>Ataguías (Incl. Uso de Bombas de Achiques y Equipos Pesado (cubicar desglosado).</t>
  </si>
  <si>
    <t>Tragantes para drenaje pluvial (cada 30 mts a cada lado. Incluye interconexión).</t>
  </si>
  <si>
    <t>UDS</t>
  </si>
  <si>
    <t>ACOMETIDAS SANITARIAS DE:</t>
  </si>
  <si>
    <t>Ø12" X 4" PVC</t>
  </si>
  <si>
    <t>TRANSPORTE INTERNO DE TUBERIAS:</t>
  </si>
  <si>
    <t>REPOSICION DE:</t>
  </si>
  <si>
    <t>Viviendas, Tipo Económica (70 Uds) (Cubicar desglosado)</t>
  </si>
  <si>
    <t xml:space="preserve">Acera </t>
  </si>
  <si>
    <t>Contén</t>
  </si>
  <si>
    <t>Asfalto  e = 3" (Anchos Mayores)</t>
  </si>
  <si>
    <t xml:space="preserve">SEÑALIZACION Y MANEJO DE TRANSITO (Letrero, cintas)  </t>
  </si>
  <si>
    <t>LIMPIEZA FINAL (Cubicar desglosado)</t>
  </si>
  <si>
    <t>SUB-TOTAL GENERAL</t>
  </si>
  <si>
    <t>DIRECCION TECNICA</t>
  </si>
  <si>
    <t>GASTOS ADMINISTRATIVOS</t>
  </si>
  <si>
    <t>SEGURO Y FIANZAS</t>
  </si>
  <si>
    <t>TRANSPORTE</t>
  </si>
  <si>
    <t>LEY # 6/86</t>
  </si>
  <si>
    <t>SUPERVISION</t>
  </si>
  <si>
    <t>TOTAL DE GASTOS INDIRECTOS</t>
  </si>
  <si>
    <t>CUENCA HIDROGRAFICA</t>
  </si>
  <si>
    <t>SUB-TOTAL GENERAL EN RD$</t>
  </si>
  <si>
    <t>EQUIPAMIENTO CAASD</t>
  </si>
  <si>
    <t>CODIA</t>
  </si>
  <si>
    <t>ITBIS (18% DE DIRECCION TECNICA)</t>
  </si>
  <si>
    <t>DISEÑO URBANISTICO</t>
  </si>
  <si>
    <t>TRANSPORTE DE EQUIPOS PESADOS Y TUBERIAS DE HORMIGON ARMADO</t>
  </si>
  <si>
    <t>IMPREVISTOS</t>
  </si>
  <si>
    <t>TOTAL GENERAL A CONTRATAR</t>
  </si>
  <si>
    <t>Sometido por :</t>
  </si>
  <si>
    <t>Preparado por:</t>
  </si>
  <si>
    <t>___________________________</t>
  </si>
  <si>
    <t>Ing. Luis Báez</t>
  </si>
  <si>
    <t>Ing. Rafael A. Gonzalez Matos</t>
  </si>
  <si>
    <t xml:space="preserve">Enc. Departamento de Ingeniería </t>
  </si>
  <si>
    <t>Analista de Costos y Presupuestos</t>
  </si>
  <si>
    <t>Visto Bueno por:</t>
  </si>
  <si>
    <t>Aprobado por :</t>
  </si>
  <si>
    <t>Ing. Luis López</t>
  </si>
  <si>
    <t xml:space="preserve">Ing. Marcelle Ríos Díaz </t>
  </si>
  <si>
    <t>Enc. Departamento de Costos y Presupuestos</t>
  </si>
  <si>
    <t>Enc. Unidad Ejecutora de Proyectos</t>
  </si>
  <si>
    <t>PRESUPUESTO: SANEAMIENTO PLUVIAL Y SANITARIO  CAÑADA ARROYO MANZANO, PANTOJAS, LOS ALCARRIZOS. (FASE A) .</t>
  </si>
  <si>
    <t>Ø80" Hormigón Armado Clase III (Cub. Contra factura)</t>
  </si>
  <si>
    <t>Ø60" Hormigón Armado Clase III (Cub. Contra factura)</t>
  </si>
  <si>
    <t>Ø48" Hormigón Armado Clase III (Cub. Contra factura)</t>
  </si>
  <si>
    <t>CONSTRUCCION DE CANAL TIPO CAJON SIMPLE EN HORMIGON ARMADO CON LOSA DE TECHO (CAJON 3.00 MTS de Ancho X 2.50 MTS de Altura Promedio)(650.00 ML):</t>
  </si>
  <si>
    <t>Registros de Hormigón Armado de:</t>
  </si>
  <si>
    <t>7.1.1</t>
  </si>
  <si>
    <t>2.60 x 2.50 x 2.31 (R2, R3, R4, R5, R6 y R7 )</t>
  </si>
  <si>
    <t>7.1.2</t>
  </si>
  <si>
    <t>2.60 x 2.50 x 2.47 (R8)</t>
  </si>
  <si>
    <t>7.1.3</t>
  </si>
  <si>
    <t>2.60 x 2.50 x 2.62 (R10, R11, R12, R13, R14, R15,R16, R17, R18, R19, R20, R21, R22, R23, R24 y R25)</t>
  </si>
  <si>
    <t>7.1.4</t>
  </si>
  <si>
    <t>2.60 x 2.50 x 2.93 (R27, R28, R29, R30, R31, R32, R33, R34, R36, R37, R41, R42, R43, R44 y R45)</t>
  </si>
  <si>
    <t>7.1.5</t>
  </si>
  <si>
    <t>2.60 x 2.50 x 3.22 (R26)</t>
  </si>
  <si>
    <t>7.1.6</t>
  </si>
  <si>
    <t>2.60 x 2.50 x 3.93 (R35,R38, R39 y R40)</t>
  </si>
  <si>
    <t>7.2.1</t>
  </si>
  <si>
    <t>7.2.2</t>
  </si>
  <si>
    <t>Cabezal de Entrada:</t>
  </si>
  <si>
    <t>7.3.1</t>
  </si>
  <si>
    <t>7.3.1.1</t>
  </si>
  <si>
    <t>7.3.1.2</t>
  </si>
  <si>
    <t>7.3.1.3</t>
  </si>
  <si>
    <t>7.3.2</t>
  </si>
  <si>
    <t>7.3.2.1</t>
  </si>
  <si>
    <t>7.3.2.2</t>
  </si>
  <si>
    <t>7.3.2.3</t>
  </si>
  <si>
    <t>7.3.2.4</t>
  </si>
  <si>
    <t>7.3.2.5</t>
  </si>
  <si>
    <t>2021-179 UEP</t>
  </si>
  <si>
    <t>PRESUPUESTO: SANEAMIENTO PLUVIAL Y SANITARIO  CAÑADA ARROYO MANZANO, PANTOJAS, LOS ALCARRIZOS.</t>
  </si>
  <si>
    <t>8.2.3</t>
  </si>
  <si>
    <t>2.60 x 2.50 x 2.62 (R9)</t>
  </si>
  <si>
    <t>8.2.4</t>
  </si>
  <si>
    <t>8.2.5</t>
  </si>
  <si>
    <t>2.60 x 2.50 x 2.69 (R1)</t>
  </si>
  <si>
    <t>8.2.6</t>
  </si>
  <si>
    <t>8.2.7</t>
  </si>
  <si>
    <t>8.2.8</t>
  </si>
  <si>
    <t>7.4.1</t>
  </si>
  <si>
    <t>7.4.1.1</t>
  </si>
  <si>
    <t>7.4.1.2</t>
  </si>
  <si>
    <t>7.4.1.3</t>
  </si>
  <si>
    <t>7.4.2</t>
  </si>
  <si>
    <t>7.4.2.1</t>
  </si>
  <si>
    <t>7.4.2.2</t>
  </si>
  <si>
    <t>7.4.2.3</t>
  </si>
  <si>
    <t>7.4.2.4</t>
  </si>
  <si>
    <t>7.4.2.5</t>
  </si>
  <si>
    <t>Ing. Sauri Montero Morillo</t>
  </si>
  <si>
    <t xml:space="preserve">ANALISIS  </t>
  </si>
  <si>
    <t>Descripción</t>
  </si>
  <si>
    <t>Cantidad</t>
  </si>
  <si>
    <t>Ud.</t>
  </si>
  <si>
    <t>Precio RD$</t>
  </si>
  <si>
    <t>Costo RD$</t>
  </si>
  <si>
    <t>Tubería Ø 80"  H. A.</t>
  </si>
  <si>
    <t>Personal:</t>
  </si>
  <si>
    <t>Plomero</t>
  </si>
  <si>
    <t>Día</t>
  </si>
  <si>
    <t xml:space="preserve">Ayudante </t>
  </si>
  <si>
    <t>2 Obreros</t>
  </si>
  <si>
    <t>Operador Grua</t>
  </si>
  <si>
    <t>Operador Retroexcavadora</t>
  </si>
  <si>
    <t>Equipo ( Alquiler):</t>
  </si>
  <si>
    <t>Grua 240 HP (10 ton)</t>
  </si>
  <si>
    <t>Retro excavadora para manejo de tubería 40.2 HP</t>
  </si>
  <si>
    <t>Camión de Apoyo en brigada de trabajo</t>
  </si>
  <si>
    <t>Herramientas</t>
  </si>
  <si>
    <t>Mortero / Juntas</t>
  </si>
  <si>
    <t>Ud</t>
  </si>
  <si>
    <t>Sub - Total</t>
  </si>
  <si>
    <t xml:space="preserve">Rendimiento </t>
  </si>
  <si>
    <t>Ml/Dia</t>
  </si>
  <si>
    <t>Costo / Ml</t>
  </si>
  <si>
    <t>Tragante Pluvial + Interconexion</t>
  </si>
  <si>
    <t>Excavación a mano</t>
  </si>
  <si>
    <t>Bote de Material</t>
  </si>
  <si>
    <t>Losa de Techo de 0.15 Mts</t>
  </si>
  <si>
    <t>Losa de Fondo de 0.15 Mts</t>
  </si>
  <si>
    <t>M4</t>
  </si>
  <si>
    <t>Bloques de 0.15 mt</t>
  </si>
  <si>
    <t>Pañete en Pared Interna</t>
  </si>
  <si>
    <t>Rejilla HF de 14 X 24</t>
  </si>
  <si>
    <t>total</t>
  </si>
  <si>
    <t>Interconexion</t>
  </si>
  <si>
    <t>Rotura de asfalto</t>
  </si>
  <si>
    <t>Excavación con compresor</t>
  </si>
  <si>
    <t>Asiento de Arena</t>
  </si>
  <si>
    <t>Relleno Compactado</t>
  </si>
  <si>
    <t>Suministro de Tubería:</t>
  </si>
  <si>
    <t>Abertura de Hueco</t>
  </si>
  <si>
    <t>Junta en tuberia</t>
  </si>
  <si>
    <t>Tubería de12" SDR-32.5</t>
  </si>
  <si>
    <t>Colocación de Tubería:</t>
  </si>
  <si>
    <t>Tubería de12"</t>
  </si>
  <si>
    <t>Costo / M3</t>
  </si>
  <si>
    <t>Imbornal de 3 Parrillas:</t>
  </si>
  <si>
    <t>Replanteo</t>
  </si>
  <si>
    <t>P.A</t>
  </si>
  <si>
    <t xml:space="preserve">Excavación </t>
  </si>
  <si>
    <t>M3.</t>
  </si>
  <si>
    <t>Losa de Fondo</t>
  </si>
  <si>
    <t>Losa de Techo</t>
  </si>
  <si>
    <t>Viga H. A.</t>
  </si>
  <si>
    <t>M2.</t>
  </si>
  <si>
    <t>Muro de Block de 6"</t>
  </si>
  <si>
    <t>Pañete Corriente</t>
  </si>
  <si>
    <t>Fino Losa de Fondo C/Imprmb.</t>
  </si>
  <si>
    <t xml:space="preserve">Escalera </t>
  </si>
  <si>
    <t>Sum. Y Colc. Tapa Liviana</t>
  </si>
  <si>
    <t>Sum. Y Colc. Rejilla</t>
  </si>
  <si>
    <t>Limpieza Final</t>
  </si>
  <si>
    <t>Costo / Ud</t>
  </si>
  <si>
    <t>Construcción de badén (6.00 Ml)</t>
  </si>
  <si>
    <t>Excavación</t>
  </si>
  <si>
    <t>Bote de Material Sobrante</t>
  </si>
  <si>
    <t>Hormigón:</t>
  </si>
  <si>
    <t>Ciclópeo</t>
  </si>
  <si>
    <t>Simple</t>
  </si>
  <si>
    <t>LOSA DE FONDO REGISTRO</t>
  </si>
  <si>
    <t>Acero</t>
  </si>
  <si>
    <t>qq</t>
  </si>
  <si>
    <t>M.O. acero.</t>
  </si>
  <si>
    <t>Horm. 210 Kg/Cm2.</t>
  </si>
  <si>
    <t>m3</t>
  </si>
  <si>
    <t>Alambre</t>
  </si>
  <si>
    <t>lbs</t>
  </si>
  <si>
    <t>Guardera</t>
  </si>
  <si>
    <t>pa</t>
  </si>
  <si>
    <t>LOSA DE FONDO CAJON</t>
  </si>
  <si>
    <t>MURO CAJON</t>
  </si>
  <si>
    <t>Encofrado a 2 caras</t>
  </si>
  <si>
    <t>Vivrado</t>
  </si>
  <si>
    <t>LOSA TECHO CAJON</t>
  </si>
  <si>
    <t xml:space="preserve">Encofrado </t>
  </si>
  <si>
    <t>Muro Registro:</t>
  </si>
  <si>
    <t>Muro Superior:</t>
  </si>
  <si>
    <t>Losa de techo Registro:</t>
  </si>
  <si>
    <t>Losa de fondo Cabezal:</t>
  </si>
  <si>
    <t>Muro Cabezal:</t>
  </si>
  <si>
    <t>VIGA Cabezal H = 0.55 Mts:</t>
  </si>
  <si>
    <t>Ml</t>
  </si>
  <si>
    <t>VIGA Cabezal H = 0.40 Mts:</t>
  </si>
  <si>
    <t>Tapa camara de desarenador:</t>
  </si>
  <si>
    <t>Cabezal:</t>
  </si>
  <si>
    <t>Excavacion</t>
  </si>
  <si>
    <t>Bote</t>
  </si>
  <si>
    <t>Relleno compactado</t>
  </si>
  <si>
    <t>Zapata Cabezal:</t>
  </si>
  <si>
    <t>Panete</t>
  </si>
  <si>
    <t>m2</t>
  </si>
  <si>
    <t>cantos</t>
  </si>
  <si>
    <t>Asiento de Sacos de H.S</t>
  </si>
  <si>
    <t>Registro: (0.70 x 0.70 x 0.70) interior</t>
  </si>
  <si>
    <t xml:space="preserve">Losa de Fondo </t>
  </si>
  <si>
    <t>Muro de Blocks de 6" Cámara Llena</t>
  </si>
  <si>
    <t>Argolla Para Izamiento</t>
  </si>
  <si>
    <t>-----------------</t>
  </si>
  <si>
    <t>ACOMETIDA SANITARIA DE 12" A 4" PVC</t>
  </si>
  <si>
    <t>TRABAJOS PRELIMINARES:</t>
  </si>
  <si>
    <t>Excavación Roca a MANO</t>
  </si>
  <si>
    <t>SUMINISTRO TUBERIA Y PIEZAS DE PVC:</t>
  </si>
  <si>
    <t>Tub. 4" PVC SDR-41</t>
  </si>
  <si>
    <t>Silleta 12" x  4"</t>
  </si>
  <si>
    <t xml:space="preserve">Codo 4" x  45º </t>
  </si>
  <si>
    <t>COLOCACIÓN TUBERIA Y PIEZAS DE PVC:</t>
  </si>
  <si>
    <t>CEMENTO SOLVENTE</t>
  </si>
  <si>
    <t>KG</t>
  </si>
  <si>
    <t>ACOMETIDA SANITARIA DE 24" A 4" PVC</t>
  </si>
  <si>
    <t xml:space="preserve">Excavación Roca </t>
  </si>
  <si>
    <t>Silleta 24" x  4"</t>
  </si>
  <si>
    <t>ACOMETIDA SANITARIA DE 30" A 4" PVC</t>
  </si>
  <si>
    <t>Silleta 30" x  4"</t>
  </si>
  <si>
    <t>Silleta 36" x  4"</t>
  </si>
  <si>
    <t>Asfaltado e=2 pulg</t>
  </si>
  <si>
    <t>Preparacion del Terreno: 0.6M</t>
  </si>
  <si>
    <t>Excavación no clasificada para conformar explanación de subrasante</t>
  </si>
  <si>
    <t xml:space="preserve">Empuje Adicional con tractor </t>
  </si>
  <si>
    <t>m3s</t>
  </si>
  <si>
    <t>Suministro y colocación de material de base clasificada</t>
  </si>
  <si>
    <t>m3c</t>
  </si>
  <si>
    <t>Escarificación de superficie</t>
  </si>
  <si>
    <t>Perfilado de subrasante con Rodillo</t>
  </si>
  <si>
    <t>Bote de material inservible y tendido en el área de bote</t>
  </si>
  <si>
    <t>total M2:</t>
  </si>
  <si>
    <t>Asfalto e=2 pulg</t>
  </si>
  <si>
    <t>Costo / M2</t>
  </si>
  <si>
    <t>SEÑALIZACION</t>
  </si>
  <si>
    <t>Alquiler de Muro Tipo N. Y. Puesto en Obra</t>
  </si>
  <si>
    <t>Alquiler de Muro (2,250+16% durante un mes)(Incl. Transporte ida y vuelta (In. Patana y Grúa para subir y bajar 6 unidades como máximo )</t>
  </si>
  <si>
    <t>UD/Dia</t>
  </si>
  <si>
    <t>Cintas</t>
  </si>
  <si>
    <t>Letreros</t>
  </si>
  <si>
    <t>Otros</t>
  </si>
  <si>
    <t>Sub-Total</t>
  </si>
  <si>
    <t>Rendimiento/ Ml</t>
  </si>
  <si>
    <t>Costo/ML</t>
  </si>
  <si>
    <t>Interceptor con Parrilla:</t>
  </si>
  <si>
    <t>Muro de Block de 8"</t>
  </si>
  <si>
    <t>Zabaleta</t>
  </si>
  <si>
    <t>Construcción Registro 2.60 x 2.50 x 2.31(R2, R3, R4, R5, R6 y R7 )</t>
  </si>
  <si>
    <t>Movimiento de tierra:</t>
  </si>
  <si>
    <t>Excavacion con Retro</t>
  </si>
  <si>
    <t>Relleno compactado con equipo</t>
  </si>
  <si>
    <t>Bote de material sobrante</t>
  </si>
  <si>
    <t>Losa de Fondo (e=0.25) P = 2.97 qq/m3</t>
  </si>
  <si>
    <t>Muros (e=0.25) P = 2.97 qq/m3</t>
  </si>
  <si>
    <t>Losa  superior móvil(e=0.15)P=2.29qq/m3</t>
  </si>
  <si>
    <t>Terminación de Superficie:</t>
  </si>
  <si>
    <t>Fino de Techo</t>
  </si>
  <si>
    <t>Misceláneos:</t>
  </si>
  <si>
    <t>Escalera</t>
  </si>
  <si>
    <t>ud</t>
  </si>
  <si>
    <t>Costo / UD</t>
  </si>
  <si>
    <t>Construcción Registro 2.60 x 2.50 x  2.47 (R8)</t>
  </si>
  <si>
    <t>Construcción Registro 2.60 x 2.50 x 2.62 (R9)</t>
  </si>
  <si>
    <t>Construcción Registro 2.60 x 2.50 x 2.62 (R10, R11, R12, R13, R14, R15,R16, R17, R18, R19, R20, R21, R23, R24 y R25)</t>
  </si>
  <si>
    <t>Construcción Registro 2.60 x 2.50 x 2.69 (R1)</t>
  </si>
  <si>
    <t>Construcción Registro 2.60 x 2.50 x  2.93 (R28, R29, R30, R31, R32, R33, R34, R36, R37, R41, R42, R43, R44, R45, R46 y R47)</t>
  </si>
  <si>
    <t>Construcción Registro 2.60 x 2.50 x 3.22 (R26)</t>
  </si>
  <si>
    <t>Construcción Registro 2.60 x 2.50 x 3.93 (R35,R38, R39 y R40)</t>
  </si>
  <si>
    <t>Losa  superior móvil(e=0.25)P=2.29qq/m3</t>
  </si>
  <si>
    <t>Construcción Registro 2.60 x 2.50 x 4.00 (R2)</t>
  </si>
  <si>
    <t>Construcción Registro 2.50 x 2.50 x 2.76 (R2)</t>
  </si>
  <si>
    <t>Construcción Registro 2.50 x 2.50 x 3.12 (R3)</t>
  </si>
  <si>
    <t>Construcción Registro 2.50 x 2.50 x 2.62 (R6)</t>
  </si>
  <si>
    <t>Construcción Registro 2.50 x 2.50 x 2.42 (R7, R10 y R12)</t>
  </si>
  <si>
    <t>Construcción Registro 2.50 x 2.50 x 2.72 (R8)</t>
  </si>
  <si>
    <t>Construcción Registro 2.50 x 2.50 x 2.77 (R9)</t>
  </si>
  <si>
    <t>Construcción Registro 2.50 x 2.50 x 2.92 (R11)</t>
  </si>
  <si>
    <t>Materiales:</t>
  </si>
  <si>
    <t>Suminstro de Piedra</t>
  </si>
  <si>
    <t>Medio Ambiente Y Rodaje</t>
  </si>
  <si>
    <t>M3E</t>
  </si>
  <si>
    <t>Equipos:</t>
  </si>
  <si>
    <t>Compactador  Retroex</t>
  </si>
  <si>
    <t>Hr</t>
  </si>
  <si>
    <t>Transporte  (40.0 km)</t>
  </si>
  <si>
    <t>M3E-KM</t>
  </si>
  <si>
    <t>Mano de Obra:</t>
  </si>
  <si>
    <t>Obrero</t>
  </si>
  <si>
    <t>Capataz</t>
  </si>
  <si>
    <t>Herramientas Menores</t>
  </si>
  <si>
    <t xml:space="preserve">TABLA PARA CALCULO DE ACERO </t>
  </si>
  <si>
    <t>REC.</t>
  </si>
  <si>
    <t>GANCHO</t>
  </si>
  <si>
    <t>SOLAPE</t>
  </si>
  <si>
    <t>LONG. REAL</t>
  </si>
  <si>
    <t>Longitud Real de Acero:</t>
  </si>
  <si>
    <t>Ø 1/2"  en  X Superior</t>
  </si>
  <si>
    <t>Ø 1/2"  en  Y Superior</t>
  </si>
  <si>
    <t>Ø 1/2"  en  X Inferior</t>
  </si>
  <si>
    <t>Ø 1/2"  en  Y Inferior</t>
  </si>
  <si>
    <t>SEPARACION</t>
  </si>
  <si>
    <t>NUM. UD</t>
  </si>
  <si>
    <t>NUM. UD REAL</t>
  </si>
  <si>
    <t>Número de pedazos de Acero en ML</t>
  </si>
  <si>
    <t>ARMADURA</t>
  </si>
  <si>
    <t>PESO EN LIB.</t>
  </si>
  <si>
    <t>DESPERD.</t>
  </si>
  <si>
    <t>LIB. A QQ.</t>
  </si>
  <si>
    <t>SUB TOTAL EN QQ</t>
  </si>
  <si>
    <t>Cantidad de Acero:</t>
  </si>
  <si>
    <t>QQ Ø 1"</t>
  </si>
  <si>
    <t>QQ Ø 1/2"</t>
  </si>
  <si>
    <t>QQ Ø 3/4"</t>
  </si>
  <si>
    <t>SUB TOTAL QQ/M3</t>
  </si>
  <si>
    <t>Cuantía = P</t>
  </si>
  <si>
    <t xml:space="preserve">Totalidad de Acero </t>
  </si>
  <si>
    <t>MUROS LATERALES CAJON</t>
  </si>
  <si>
    <t xml:space="preserve">Ø 1/2"  Horizontal </t>
  </si>
  <si>
    <t xml:space="preserve">Ø 1/2"  Vertical </t>
  </si>
  <si>
    <t>LOSA DE TECHO CAJON</t>
  </si>
  <si>
    <t>MURO CABEZAL</t>
  </si>
  <si>
    <t>Ø 1/2" Acero  Horizontal</t>
  </si>
  <si>
    <t>Ø 1/2" Acero Vertical</t>
  </si>
  <si>
    <t>MURO  REGISTRO</t>
  </si>
  <si>
    <t>LOSA DE FONDO CABEZAL</t>
  </si>
  <si>
    <t>VIGA CABEZAL H =0.55 Mts</t>
  </si>
  <si>
    <t>Ø 1/2" Acero Longitudinal</t>
  </si>
  <si>
    <t>Ø3/8" Estr.</t>
  </si>
  <si>
    <t>QQ Ø 3/8"</t>
  </si>
  <si>
    <t>VIGA CABEZAL H =0.40 Mts</t>
  </si>
  <si>
    <t>LOSA DE TECHO REGISTRO</t>
  </si>
  <si>
    <t>Ø 1/2"  en  X</t>
  </si>
  <si>
    <t>Ø 1/2"  en  Y</t>
  </si>
  <si>
    <t>LOSA DE FONDO CAMARA DE DESARENADOR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</si>
</sst>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_);\(&quot;RD$&quot;#,##0.00\)"/>
    <numFmt numFmtId="166" formatCode="0.00_)"/>
    <numFmt numFmtId="167" formatCode="0.0"/>
    <numFmt numFmtId="168" formatCode="0_)"/>
    <numFmt numFmtId="169" formatCode="_([$€]* #,##0.00_);_([$€]* \(#,##0.00\);_([$€]* &quot;-&quot;??_);_(@_)"/>
    <numFmt numFmtId="170" formatCode="_(* #,##0.00_);_(* \(#,##0.00\);_(* \-??_);_(@_)"/>
    <numFmt numFmtId="171" formatCode="_(* #,##0.000000_);_(* \(#,##0.000000\);_(* &quot;-&quot;??_);_(@_)"/>
    <numFmt numFmtId="172" formatCode="#,##0.000"/>
    <numFmt numFmtId="173" formatCode="0.0_)"/>
    <numFmt numFmtId="174" formatCode="[$-1C0A]#,##0.00_);\(#,##0.00\)"/>
    <numFmt numFmtId="175" formatCode="&quot;RD$&quot;#,##0.00_);[Red]&quot;(RD$&quot;#,##0.00\)"/>
    <numFmt numFmtId="176" formatCode="&quot;RD$&quot;#,##0.00_);[Red]\(&quot;RD$&quot;#,##0.00\)"/>
  </numFmts>
  <fonts count="50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4"/>
      <name val="Arial MT"/>
    </font>
    <font>
      <b/>
      <sz val="12"/>
      <color indexed="8"/>
      <name val="Arial"/>
      <family val="2"/>
    </font>
    <font>
      <sz val="12"/>
      <name val="Arial MT"/>
    </font>
    <font>
      <b/>
      <sz val="12"/>
      <name val="Arial MT"/>
    </font>
    <font>
      <b/>
      <sz val="12"/>
      <color indexed="8"/>
      <name val="Arial MT"/>
    </font>
    <font>
      <sz val="12"/>
      <color indexed="8"/>
      <name val="Arial"/>
      <family val="2"/>
    </font>
    <font>
      <sz val="12"/>
      <color indexed="8"/>
      <name val="Arial MT"/>
    </font>
    <font>
      <b/>
      <sz val="11"/>
      <color indexed="8"/>
      <name val="Arial"/>
      <family val="2"/>
    </font>
    <font>
      <sz val="10"/>
      <name val="Courier New"/>
      <family val="3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14"/>
      <color rgb="FF376092"/>
      <name val="Arial"/>
      <family val="2"/>
      <charset val="1"/>
    </font>
    <font>
      <sz val="14"/>
      <color rgb="FF92D05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B0F0"/>
      <name val="Arial"/>
      <family val="2"/>
      <charset val="1"/>
    </font>
    <font>
      <sz val="12"/>
      <name val="Arial MT"/>
      <charset val="1"/>
    </font>
    <font>
      <sz val="8"/>
      <name val="Arial"/>
      <family val="2"/>
    </font>
    <font>
      <sz val="12"/>
      <color rgb="FFFF0000"/>
      <name val="Arial MT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  <charset val="1"/>
    </font>
    <font>
      <b/>
      <sz val="14"/>
      <color rgb="FFFFFFFF"/>
      <name val="Arial"/>
      <family val="2"/>
      <charset val="1"/>
    </font>
    <font>
      <sz val="14"/>
      <color rgb="FFFFFFFF"/>
      <name val="Arial"/>
      <family val="2"/>
      <charset val="1"/>
    </font>
    <font>
      <sz val="14"/>
      <color theme="1"/>
      <name val="Arial"/>
      <family val="2"/>
      <charset val="1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 MT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E46C0A"/>
        <bgColor rgb="FFFF8000"/>
      </patternFill>
    </fill>
    <fill>
      <patternFill patternType="solid">
        <fgColor indexed="9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21">
    <xf numFmtId="166" fontId="0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/>
    <xf numFmtId="166" fontId="2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Fill="0" applyBorder="0" applyAlignment="0" applyProtection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 applyFill="0" applyBorder="0" applyAlignment="0" applyProtection="0"/>
    <xf numFmtId="39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12">
    <xf numFmtId="166" fontId="0" fillId="0" borderId="0" xfId="0"/>
    <xf numFmtId="166" fontId="4" fillId="0" borderId="0" xfId="0" applyFont="1" applyAlignment="1">
      <alignment vertical="center"/>
    </xf>
    <xf numFmtId="166" fontId="4" fillId="0" borderId="0" xfId="0" applyFont="1" applyAlignment="1">
      <alignment horizontal="center" vertical="center"/>
    </xf>
    <xf numFmtId="166" fontId="4" fillId="0" borderId="0" xfId="0" applyFont="1" applyAlignment="1">
      <alignment horizontal="right" vertical="center"/>
    </xf>
    <xf numFmtId="43" fontId="4" fillId="0" borderId="0" xfId="2" applyFont="1" applyAlignment="1">
      <alignment vertical="center"/>
    </xf>
    <xf numFmtId="43" fontId="11" fillId="0" borderId="0" xfId="2" applyFont="1" applyAlignment="1">
      <alignment horizontal="center"/>
    </xf>
    <xf numFmtId="166" fontId="5" fillId="0" borderId="1" xfId="0" applyFont="1" applyBorder="1" applyAlignment="1">
      <alignment horizontal="center"/>
    </xf>
    <xf numFmtId="166" fontId="5" fillId="0" borderId="2" xfId="0" applyFont="1" applyBorder="1" applyAlignment="1">
      <alignment horizontal="center"/>
    </xf>
    <xf numFmtId="43" fontId="5" fillId="0" borderId="2" xfId="2" applyFont="1" applyBorder="1" applyAlignment="1" applyProtection="1">
      <alignment horizontal="center"/>
    </xf>
    <xf numFmtId="166" fontId="3" fillId="0" borderId="1" xfId="0" applyFont="1" applyBorder="1" applyAlignment="1">
      <alignment horizontal="center"/>
    </xf>
    <xf numFmtId="166" fontId="3" fillId="0" borderId="2" xfId="0" applyFont="1" applyBorder="1" applyAlignment="1">
      <alignment horizontal="center"/>
    </xf>
    <xf numFmtId="43" fontId="3" fillId="0" borderId="2" xfId="2" applyFont="1" applyBorder="1" applyAlignment="1" applyProtection="1">
      <alignment horizontal="center"/>
    </xf>
    <xf numFmtId="39" fontId="3" fillId="0" borderId="2" xfId="0" applyNumberFormat="1" applyFont="1" applyBorder="1" applyAlignment="1">
      <alignment horizontal="center"/>
    </xf>
    <xf numFmtId="166" fontId="3" fillId="0" borderId="0" xfId="0" applyFont="1" applyAlignment="1">
      <alignment horizontal="center"/>
    </xf>
    <xf numFmtId="43" fontId="3" fillId="0" borderId="0" xfId="2" applyFont="1" applyBorder="1" applyAlignment="1" applyProtection="1">
      <alignment horizontal="center"/>
    </xf>
    <xf numFmtId="39" fontId="3" fillId="0" borderId="0" xfId="0" applyNumberFormat="1" applyFont="1" applyAlignment="1">
      <alignment horizontal="center"/>
    </xf>
    <xf numFmtId="39" fontId="3" fillId="0" borderId="3" xfId="0" applyNumberFormat="1" applyFont="1" applyBorder="1" applyAlignment="1">
      <alignment horizontal="center"/>
    </xf>
    <xf numFmtId="166" fontId="5" fillId="0" borderId="4" xfId="0" applyFont="1" applyBorder="1" applyAlignment="1">
      <alignment horizontal="center"/>
    </xf>
    <xf numFmtId="166" fontId="5" fillId="0" borderId="4" xfId="0" quotePrefix="1" applyFont="1" applyBorder="1" applyAlignment="1">
      <alignment horizontal="center"/>
    </xf>
    <xf numFmtId="39" fontId="3" fillId="0" borderId="4" xfId="0" applyNumberFormat="1" applyFont="1" applyBorder="1" applyAlignment="1">
      <alignment horizontal="center"/>
    </xf>
    <xf numFmtId="39" fontId="3" fillId="5" borderId="2" xfId="0" applyNumberFormat="1" applyFont="1" applyFill="1" applyBorder="1" applyAlignment="1">
      <alignment horizontal="center"/>
    </xf>
    <xf numFmtId="166" fontId="5" fillId="5" borderId="6" xfId="0" quotePrefix="1" applyFont="1" applyFill="1" applyBorder="1" applyAlignment="1">
      <alignment horizontal="center"/>
    </xf>
    <xf numFmtId="43" fontId="5" fillId="5" borderId="6" xfId="2" quotePrefix="1" applyFont="1" applyFill="1" applyBorder="1" applyAlignment="1" applyProtection="1">
      <alignment horizontal="center"/>
    </xf>
    <xf numFmtId="43" fontId="5" fillId="5" borderId="7" xfId="2" applyFont="1" applyFill="1" applyBorder="1" applyAlignment="1" applyProtection="1">
      <alignment horizontal="center"/>
    </xf>
    <xf numFmtId="166" fontId="7" fillId="5" borderId="0" xfId="0" applyFont="1" applyFill="1" applyAlignment="1">
      <alignment horizontal="center" vertical="center"/>
    </xf>
    <xf numFmtId="43" fontId="8" fillId="0" borderId="0" xfId="3" applyFont="1" applyAlignment="1">
      <alignment vertical="center"/>
    </xf>
    <xf numFmtId="166" fontId="13" fillId="6" borderId="13" xfId="6" applyFont="1" applyFill="1" applyBorder="1" applyAlignment="1">
      <alignment horizontal="center" vertical="center"/>
    </xf>
    <xf numFmtId="166" fontId="13" fillId="6" borderId="14" xfId="6" applyFont="1" applyFill="1" applyBorder="1" applyAlignment="1">
      <alignment horizontal="center" vertical="center"/>
    </xf>
    <xf numFmtId="43" fontId="13" fillId="6" borderId="14" xfId="3" applyFont="1" applyFill="1" applyBorder="1" applyAlignment="1" applyProtection="1">
      <alignment horizontal="center" vertical="center"/>
    </xf>
    <xf numFmtId="43" fontId="7" fillId="0" borderId="0" xfId="3" applyFont="1" applyAlignment="1">
      <alignment vertical="center"/>
    </xf>
    <xf numFmtId="4" fontId="2" fillId="0" borderId="16" xfId="6" applyNumberFormat="1" applyBorder="1" applyAlignment="1">
      <alignment horizontal="right" vertical="center" wrapText="1"/>
    </xf>
    <xf numFmtId="167" fontId="8" fillId="0" borderId="0" xfId="6" applyNumberFormat="1" applyFont="1" applyAlignment="1">
      <alignment horizontal="right" vertical="center"/>
    </xf>
    <xf numFmtId="166" fontId="8" fillId="0" borderId="0" xfId="6" applyFont="1" applyAlignment="1">
      <alignment vertical="center"/>
    </xf>
    <xf numFmtId="166" fontId="8" fillId="0" borderId="0" xfId="6" applyFont="1" applyAlignment="1">
      <alignment horizontal="right" vertical="center"/>
    </xf>
    <xf numFmtId="166" fontId="8" fillId="0" borderId="0" xfId="6" applyFont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3" fillId="4" borderId="1" xfId="0" applyFont="1" applyFill="1" applyBorder="1" applyAlignment="1">
      <alignment horizontal="center"/>
    </xf>
    <xf numFmtId="166" fontId="3" fillId="4" borderId="0" xfId="0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43" fontId="4" fillId="0" borderId="0" xfId="2" applyFont="1" applyFill="1" applyAlignment="1">
      <alignment vertical="center"/>
    </xf>
    <xf numFmtId="43" fontId="5" fillId="0" borderId="2" xfId="2" applyFont="1" applyFill="1" applyBorder="1" applyAlignment="1" applyProtection="1">
      <alignment horizontal="center"/>
    </xf>
    <xf numFmtId="43" fontId="3" fillId="0" borderId="2" xfId="2" applyFont="1" applyFill="1" applyBorder="1" applyAlignment="1" applyProtection="1">
      <alignment horizontal="center"/>
    </xf>
    <xf numFmtId="43" fontId="3" fillId="0" borderId="0" xfId="2" applyFont="1" applyFill="1" applyBorder="1" applyAlignment="1" applyProtection="1">
      <alignment horizontal="center"/>
    </xf>
    <xf numFmtId="43" fontId="2" fillId="0" borderId="0" xfId="2" applyFont="1" applyAlignment="1">
      <alignment horizontal="center"/>
    </xf>
    <xf numFmtId="166" fontId="2" fillId="4" borderId="0" xfId="0" applyFont="1" applyFill="1" applyAlignment="1">
      <alignment horizontal="left"/>
    </xf>
    <xf numFmtId="166" fontId="2" fillId="0" borderId="0" xfId="0" applyFont="1" applyAlignment="1">
      <alignment horizontal="center"/>
    </xf>
    <xf numFmtId="43" fontId="2" fillId="0" borderId="0" xfId="2" applyFont="1" applyFill="1" applyAlignment="1">
      <alignment horizontal="center"/>
    </xf>
    <xf numFmtId="166" fontId="2" fillId="4" borderId="0" xfId="0" applyFont="1" applyFill="1"/>
    <xf numFmtId="166" fontId="5" fillId="3" borderId="4" xfId="0" quotePrefix="1" applyFont="1" applyFill="1" applyBorder="1" applyAlignment="1">
      <alignment horizontal="center"/>
    </xf>
    <xf numFmtId="39" fontId="3" fillId="3" borderId="4" xfId="0" applyNumberFormat="1" applyFont="1" applyFill="1" applyBorder="1" applyAlignment="1">
      <alignment horizontal="center"/>
    </xf>
    <xf numFmtId="166" fontId="2" fillId="0" borderId="8" xfId="0" applyFont="1" applyBorder="1" applyAlignment="1">
      <alignment horizontal="right" vertical="center"/>
    </xf>
    <xf numFmtId="166" fontId="2" fillId="0" borderId="0" xfId="0" applyFont="1" applyAlignment="1">
      <alignment horizontal="center" vertical="center"/>
    </xf>
    <xf numFmtId="166" fontId="2" fillId="0" borderId="9" xfId="0" applyFont="1" applyBorder="1" applyAlignment="1">
      <alignment horizontal="right" vertical="center"/>
    </xf>
    <xf numFmtId="166" fontId="2" fillId="0" borderId="9" xfId="0" applyFont="1" applyBorder="1" applyAlignment="1">
      <alignment horizontal="left" vertical="center"/>
    </xf>
    <xf numFmtId="166" fontId="1" fillId="0" borderId="0" xfId="0" applyFont="1" applyAlignment="1">
      <alignment vertical="center"/>
    </xf>
    <xf numFmtId="43" fontId="13" fillId="6" borderId="14" xfId="2" applyFont="1" applyFill="1" applyBorder="1" applyAlignment="1" applyProtection="1">
      <alignment horizontal="center" vertical="center"/>
    </xf>
    <xf numFmtId="43" fontId="8" fillId="0" borderId="0" xfId="2" applyFont="1" applyAlignment="1">
      <alignment vertical="center"/>
    </xf>
    <xf numFmtId="43" fontId="8" fillId="0" borderId="0" xfId="2" applyFont="1" applyBorder="1" applyAlignment="1">
      <alignment vertical="center"/>
    </xf>
    <xf numFmtId="43" fontId="13" fillId="6" borderId="15" xfId="2" applyFont="1" applyFill="1" applyBorder="1" applyAlignment="1" applyProtection="1">
      <alignment horizontal="center" vertical="center"/>
    </xf>
    <xf numFmtId="43" fontId="2" fillId="0" borderId="31" xfId="2" applyFont="1" applyBorder="1" applyAlignment="1">
      <alignment horizontal="center" vertical="center"/>
    </xf>
    <xf numFmtId="43" fontId="8" fillId="0" borderId="0" xfId="2" applyFont="1" applyAlignment="1">
      <alignment horizontal="right" vertical="center"/>
    </xf>
    <xf numFmtId="166" fontId="8" fillId="0" borderId="0" xfId="0" applyFont="1" applyAlignment="1">
      <alignment vertical="center"/>
    </xf>
    <xf numFmtId="167" fontId="7" fillId="8" borderId="1" xfId="0" applyNumberFormat="1" applyFont="1" applyFill="1" applyBorder="1" applyAlignment="1">
      <alignment horizontal="center" vertical="center"/>
    </xf>
    <xf numFmtId="166" fontId="7" fillId="8" borderId="2" xfId="0" applyFont="1" applyFill="1" applyBorder="1" applyAlignment="1">
      <alignment horizontal="center" vertical="center"/>
    </xf>
    <xf numFmtId="166" fontId="7" fillId="8" borderId="24" xfId="0" applyFont="1" applyFill="1" applyBorder="1" applyAlignment="1">
      <alignment horizontal="center" vertical="center"/>
    </xf>
    <xf numFmtId="166" fontId="7" fillId="8" borderId="25" xfId="0" applyFont="1" applyFill="1" applyBorder="1" applyAlignment="1">
      <alignment horizontal="center" vertical="center"/>
    </xf>
    <xf numFmtId="167" fontId="8" fillId="0" borderId="26" xfId="0" applyNumberFormat="1" applyFont="1" applyBorder="1" applyAlignment="1">
      <alignment horizontal="right" vertical="center"/>
    </xf>
    <xf numFmtId="166" fontId="8" fillId="0" borderId="27" xfId="0" applyFont="1" applyBorder="1" applyAlignment="1">
      <alignment vertical="center"/>
    </xf>
    <xf numFmtId="39" fontId="8" fillId="0" borderId="27" xfId="0" applyNumberFormat="1" applyFont="1" applyBorder="1" applyAlignment="1">
      <alignment horizontal="right" vertical="center"/>
    </xf>
    <xf numFmtId="166" fontId="8" fillId="0" borderId="27" xfId="0" applyFont="1" applyBorder="1" applyAlignment="1">
      <alignment horizontal="center" vertical="center"/>
    </xf>
    <xf numFmtId="39" fontId="8" fillId="0" borderId="27" xfId="0" applyNumberFormat="1" applyFont="1" applyBorder="1" applyAlignment="1">
      <alignment vertical="center"/>
    </xf>
    <xf numFmtId="39" fontId="8" fillId="0" borderId="28" xfId="0" applyNumberFormat="1" applyFont="1" applyBorder="1" applyAlignment="1">
      <alignment horizontal="right" vertical="center"/>
    </xf>
    <xf numFmtId="39" fontId="8" fillId="0" borderId="29" xfId="0" applyNumberFormat="1" applyFont="1" applyBorder="1" applyAlignment="1">
      <alignment vertical="center"/>
    </xf>
    <xf numFmtId="166" fontId="8" fillId="0" borderId="27" xfId="0" applyFont="1" applyBorder="1" applyAlignment="1">
      <alignment vertical="center" wrapText="1"/>
    </xf>
    <xf numFmtId="39" fontId="7" fillId="0" borderId="29" xfId="0" applyNumberFormat="1" applyFont="1" applyBorder="1" applyAlignment="1">
      <alignment vertical="center"/>
    </xf>
    <xf numFmtId="166" fontId="7" fillId="8" borderId="5" xfId="0" applyFont="1" applyFill="1" applyBorder="1" applyAlignment="1">
      <alignment horizontal="center" vertical="center"/>
    </xf>
    <xf numFmtId="39" fontId="8" fillId="0" borderId="30" xfId="0" applyNumberFormat="1" applyFont="1" applyBorder="1" applyAlignment="1">
      <alignment vertical="center"/>
    </xf>
    <xf numFmtId="39" fontId="7" fillId="0" borderId="27" xfId="0" applyNumberFormat="1" applyFont="1" applyBorder="1" applyAlignment="1">
      <alignment vertical="center"/>
    </xf>
    <xf numFmtId="39" fontId="7" fillId="0" borderId="30" xfId="0" applyNumberFormat="1" applyFont="1" applyBorder="1" applyAlignment="1">
      <alignment vertical="center"/>
    </xf>
    <xf numFmtId="39" fontId="7" fillId="0" borderId="6" xfId="0" applyNumberFormat="1" applyFont="1" applyBorder="1" applyAlignment="1">
      <alignment vertical="center"/>
    </xf>
    <xf numFmtId="43" fontId="8" fillId="0" borderId="0" xfId="8" applyFont="1" applyAlignment="1">
      <alignment vertical="center"/>
    </xf>
    <xf numFmtId="166" fontId="7" fillId="8" borderId="2" xfId="0" applyFont="1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/>
    </xf>
    <xf numFmtId="43" fontId="8" fillId="0" borderId="31" xfId="2" applyFont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right" vertical="center"/>
    </xf>
    <xf numFmtId="166" fontId="7" fillId="8" borderId="2" xfId="0" applyFont="1" applyFill="1" applyBorder="1" applyAlignment="1">
      <alignment vertical="center" wrapText="1"/>
    </xf>
    <xf numFmtId="39" fontId="8" fillId="8" borderId="2" xfId="0" applyNumberFormat="1" applyFont="1" applyFill="1" applyBorder="1" applyAlignment="1">
      <alignment horizontal="right" vertical="center"/>
    </xf>
    <xf numFmtId="2" fontId="8" fillId="8" borderId="2" xfId="0" applyNumberFormat="1" applyFont="1" applyFill="1" applyBorder="1" applyAlignment="1">
      <alignment horizontal="center" vertical="center"/>
    </xf>
    <xf numFmtId="39" fontId="8" fillId="8" borderId="2" xfId="0" applyNumberFormat="1" applyFont="1" applyFill="1" applyBorder="1" applyAlignment="1">
      <alignment vertical="center"/>
    </xf>
    <xf numFmtId="39" fontId="8" fillId="8" borderId="24" xfId="0" applyNumberFormat="1" applyFont="1" applyFill="1" applyBorder="1" applyAlignment="1">
      <alignment horizontal="right" vertical="center"/>
    </xf>
    <xf numFmtId="39" fontId="7" fillId="8" borderId="25" xfId="0" applyNumberFormat="1" applyFont="1" applyFill="1" applyBorder="1" applyAlignment="1">
      <alignment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Font="1" applyAlignment="1">
      <alignment horizontal="right" vertical="center"/>
    </xf>
    <xf numFmtId="166" fontId="8" fillId="0" borderId="0" xfId="0" applyFont="1" applyAlignment="1">
      <alignment horizontal="center" vertical="center"/>
    </xf>
    <xf numFmtId="166" fontId="7" fillId="10" borderId="20" xfId="0" applyFont="1" applyFill="1" applyBorder="1" applyAlignment="1">
      <alignment horizontal="center"/>
    </xf>
    <xf numFmtId="166" fontId="7" fillId="10" borderId="24" xfId="0" applyFont="1" applyFill="1" applyBorder="1" applyAlignment="1">
      <alignment horizontal="center"/>
    </xf>
    <xf numFmtId="43" fontId="7" fillId="10" borderId="24" xfId="2" applyFont="1" applyFill="1" applyBorder="1" applyAlignment="1">
      <alignment horizontal="center"/>
    </xf>
    <xf numFmtId="166" fontId="7" fillId="10" borderId="24" xfId="0" quotePrefix="1" applyFont="1" applyFill="1" applyBorder="1" applyAlignment="1">
      <alignment horizontal="center"/>
    </xf>
    <xf numFmtId="43" fontId="7" fillId="10" borderId="25" xfId="2" applyFont="1" applyFill="1" applyBorder="1" applyAlignment="1">
      <alignment horizontal="center"/>
    </xf>
    <xf numFmtId="43" fontId="8" fillId="0" borderId="17" xfId="2" applyFont="1" applyBorder="1"/>
    <xf numFmtId="43" fontId="8" fillId="0" borderId="18" xfId="2" applyFont="1" applyBorder="1"/>
    <xf numFmtId="166" fontId="8" fillId="0" borderId="17" xfId="0" applyFont="1" applyBorder="1" applyAlignment="1">
      <alignment horizontal="left"/>
    </xf>
    <xf numFmtId="43" fontId="8" fillId="0" borderId="17" xfId="2" applyFont="1" applyBorder="1" applyAlignment="1" applyProtection="1">
      <alignment horizontal="right" vertical="center"/>
    </xf>
    <xf numFmtId="166" fontId="8" fillId="0" borderId="17" xfId="0" applyFont="1" applyBorder="1" applyAlignment="1">
      <alignment horizontal="center" vertical="center"/>
    </xf>
    <xf numFmtId="43" fontId="8" fillId="0" borderId="18" xfId="2" applyFont="1" applyBorder="1" applyAlignment="1" applyProtection="1">
      <alignment horizontal="right" vertical="center"/>
    </xf>
    <xf numFmtId="0" fontId="8" fillId="0" borderId="17" xfId="0" applyNumberFormat="1" applyFont="1" applyBorder="1"/>
    <xf numFmtId="166" fontId="7" fillId="11" borderId="1" xfId="0" applyFont="1" applyFill="1" applyBorder="1"/>
    <xf numFmtId="166" fontId="7" fillId="11" borderId="2" xfId="0" applyFont="1" applyFill="1" applyBorder="1" applyAlignment="1">
      <alignment horizontal="right"/>
    </xf>
    <xf numFmtId="43" fontId="8" fillId="11" borderId="2" xfId="2" applyFont="1" applyFill="1" applyBorder="1"/>
    <xf numFmtId="1" fontId="8" fillId="11" borderId="2" xfId="0" applyNumberFormat="1" applyFont="1" applyFill="1" applyBorder="1" applyAlignment="1">
      <alignment horizontal="center"/>
    </xf>
    <xf numFmtId="43" fontId="7" fillId="11" borderId="25" xfId="2" applyFont="1" applyFill="1" applyBorder="1"/>
    <xf numFmtId="43" fontId="8" fillId="0" borderId="17" xfId="2" applyFont="1" applyFill="1" applyBorder="1" applyProtection="1"/>
    <xf numFmtId="39" fontId="8" fillId="0" borderId="17" xfId="0" applyNumberFormat="1" applyFont="1" applyBorder="1" applyAlignment="1">
      <alignment horizontal="center"/>
    </xf>
    <xf numFmtId="43" fontId="7" fillId="0" borderId="18" xfId="2" applyFont="1" applyFill="1" applyBorder="1" applyProtection="1"/>
    <xf numFmtId="166" fontId="7" fillId="0" borderId="17" xfId="0" applyFont="1" applyBorder="1" applyAlignment="1">
      <alignment horizontal="left"/>
    </xf>
    <xf numFmtId="166" fontId="8" fillId="0" borderId="17" xfId="0" applyFont="1" applyBorder="1"/>
    <xf numFmtId="1" fontId="8" fillId="0" borderId="17" xfId="0" applyNumberFormat="1" applyFont="1" applyBorder="1" applyAlignment="1">
      <alignment horizontal="center"/>
    </xf>
    <xf numFmtId="166" fontId="9" fillId="0" borderId="0" xfId="6" applyFont="1" applyAlignment="1">
      <alignment vertical="center"/>
    </xf>
    <xf numFmtId="166" fontId="10" fillId="0" borderId="0" xfId="6" applyFont="1" applyAlignment="1">
      <alignment vertical="center"/>
    </xf>
    <xf numFmtId="43" fontId="10" fillId="0" borderId="0" xfId="2" applyFont="1" applyAlignment="1" applyProtection="1">
      <alignment vertical="center"/>
    </xf>
    <xf numFmtId="43" fontId="10" fillId="0" borderId="0" xfId="3" applyFont="1" applyAlignment="1" applyProtection="1">
      <alignment vertical="center"/>
    </xf>
    <xf numFmtId="43" fontId="9" fillId="0" borderId="0" xfId="3" applyFont="1" applyAlignment="1" applyProtection="1">
      <alignment vertical="center"/>
    </xf>
    <xf numFmtId="43" fontId="9" fillId="0" borderId="0" xfId="2" applyFont="1" applyAlignment="1" applyProtection="1">
      <alignment vertical="center"/>
    </xf>
    <xf numFmtId="43" fontId="10" fillId="0" borderId="0" xfId="2" applyFont="1" applyAlignment="1" applyProtection="1">
      <alignment horizontal="right" vertical="center"/>
    </xf>
    <xf numFmtId="166" fontId="19" fillId="0" borderId="0" xfId="6" applyFont="1" applyAlignment="1">
      <alignment vertical="center"/>
    </xf>
    <xf numFmtId="0" fontId="2" fillId="0" borderId="0" xfId="6" applyNumberFormat="1" applyAlignment="1">
      <alignment vertical="center"/>
    </xf>
    <xf numFmtId="0" fontId="15" fillId="0" borderId="0" xfId="6" applyNumberFormat="1" applyFont="1" applyAlignment="1">
      <alignment vertical="center"/>
    </xf>
    <xf numFmtId="0" fontId="16" fillId="0" borderId="0" xfId="6" applyNumberFormat="1" applyFont="1" applyAlignment="1">
      <alignment horizontal="centerContinuous" vertical="center"/>
    </xf>
    <xf numFmtId="43" fontId="16" fillId="0" borderId="0" xfId="2" applyFont="1" applyFill="1" applyBorder="1" applyAlignment="1">
      <alignment horizontal="centerContinuous" vertical="center"/>
    </xf>
    <xf numFmtId="4" fontId="3" fillId="0" borderId="0" xfId="6" applyNumberFormat="1" applyFont="1" applyAlignment="1">
      <alignment horizontal="centerContinuous" vertical="center"/>
    </xf>
    <xf numFmtId="43" fontId="17" fillId="0" borderId="0" xfId="2" applyFont="1" applyFill="1" applyBorder="1" applyAlignment="1">
      <alignment horizontal="centerContinuous" vertical="center"/>
    </xf>
    <xf numFmtId="43" fontId="13" fillId="0" borderId="0" xfId="2" applyFont="1" applyFill="1" applyBorder="1" applyAlignment="1">
      <alignment horizontal="right" vertical="center"/>
    </xf>
    <xf numFmtId="0" fontId="14" fillId="0" borderId="0" xfId="6" applyNumberFormat="1" applyFont="1" applyAlignment="1">
      <alignment vertical="center"/>
    </xf>
    <xf numFmtId="43" fontId="14" fillId="0" borderId="0" xfId="2" applyFont="1" applyAlignment="1">
      <alignment vertical="center"/>
    </xf>
    <xf numFmtId="4" fontId="2" fillId="0" borderId="0" xfId="6" applyNumberFormat="1" applyAlignment="1">
      <alignment vertical="center"/>
    </xf>
    <xf numFmtId="43" fontId="2" fillId="0" borderId="0" xfId="2" applyFont="1" applyAlignment="1">
      <alignment vertical="center"/>
    </xf>
    <xf numFmtId="0" fontId="3" fillId="0" borderId="17" xfId="0" applyNumberFormat="1" applyFont="1" applyBorder="1" applyAlignment="1">
      <alignment horizontal="left"/>
    </xf>
    <xf numFmtId="0" fontId="2" fillId="0" borderId="17" xfId="0" applyNumberFormat="1" applyFont="1" applyBorder="1"/>
    <xf numFmtId="0" fontId="2" fillId="0" borderId="18" xfId="0" applyNumberFormat="1" applyFont="1" applyBorder="1"/>
    <xf numFmtId="4" fontId="3" fillId="0" borderId="17" xfId="0" quotePrefix="1" applyNumberFormat="1" applyFont="1" applyBorder="1"/>
    <xf numFmtId="0" fontId="3" fillId="0" borderId="17" xfId="0" quotePrefix="1" applyNumberFormat="1" applyFont="1" applyBorder="1" applyAlignment="1">
      <alignment horizontal="center"/>
    </xf>
    <xf numFmtId="4" fontId="3" fillId="0" borderId="18" xfId="0" applyNumberFormat="1" applyFont="1" applyBorder="1"/>
    <xf numFmtId="0" fontId="2" fillId="0" borderId="17" xfId="0" applyNumberFormat="1" applyFont="1" applyBorder="1" applyAlignment="1">
      <alignment horizontal="left"/>
    </xf>
    <xf numFmtId="4" fontId="2" fillId="0" borderId="17" xfId="0" applyNumberFormat="1" applyFont="1" applyBorder="1"/>
    <xf numFmtId="0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/>
    <xf numFmtId="0" fontId="2" fillId="0" borderId="17" xfId="0" quotePrefix="1" applyNumberFormat="1" applyFont="1" applyBorder="1" applyAlignment="1">
      <alignment horizontal="center"/>
    </xf>
    <xf numFmtId="0" fontId="3" fillId="11" borderId="2" xfId="0" applyNumberFormat="1" applyFont="1" applyFill="1" applyBorder="1" applyAlignment="1">
      <alignment horizontal="center"/>
    </xf>
    <xf numFmtId="39" fontId="2" fillId="11" borderId="2" xfId="0" applyNumberFormat="1" applyFont="1" applyFill="1" applyBorder="1"/>
    <xf numFmtId="39" fontId="2" fillId="11" borderId="2" xfId="0" applyNumberFormat="1" applyFont="1" applyFill="1" applyBorder="1" applyAlignment="1">
      <alignment horizontal="center"/>
    </xf>
    <xf numFmtId="39" fontId="3" fillId="11" borderId="25" xfId="0" applyNumberFormat="1" applyFont="1" applyFill="1" applyBorder="1"/>
    <xf numFmtId="0" fontId="9" fillId="0" borderId="17" xfId="0" applyNumberFormat="1" applyFont="1" applyBorder="1" applyAlignment="1">
      <alignment horizontal="left"/>
    </xf>
    <xf numFmtId="4" fontId="9" fillId="0" borderId="17" xfId="0" applyNumberFormat="1" applyFont="1" applyBorder="1"/>
    <xf numFmtId="4" fontId="9" fillId="0" borderId="18" xfId="0" quotePrefix="1" applyNumberFormat="1" applyFont="1" applyBorder="1" applyAlignment="1">
      <alignment horizontal="right"/>
    </xf>
    <xf numFmtId="0" fontId="3" fillId="0" borderId="17" xfId="0" applyNumberFormat="1" applyFont="1" applyBorder="1" applyAlignment="1">
      <alignment horizontal="right"/>
    </xf>
    <xf numFmtId="4" fontId="3" fillId="0" borderId="17" xfId="0" quotePrefix="1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right"/>
    </xf>
    <xf numFmtId="4" fontId="10" fillId="0" borderId="18" xfId="0" quotePrefix="1" applyNumberFormat="1" applyFont="1" applyBorder="1" applyAlignment="1">
      <alignment horizontal="right"/>
    </xf>
    <xf numFmtId="43" fontId="7" fillId="0" borderId="17" xfId="2" applyFont="1" applyBorder="1" applyAlignment="1">
      <alignment horizontal="right"/>
    </xf>
    <xf numFmtId="43" fontId="7" fillId="0" borderId="18" xfId="2" applyFont="1" applyBorder="1"/>
    <xf numFmtId="166" fontId="7" fillId="0" borderId="17" xfId="0" applyFont="1" applyBorder="1"/>
    <xf numFmtId="166" fontId="7" fillId="0" borderId="0" xfId="0" applyFont="1" applyAlignment="1">
      <alignment vertical="center"/>
    </xf>
    <xf numFmtId="166" fontId="8" fillId="0" borderId="0" xfId="0" applyFont="1" applyAlignment="1">
      <alignment vertical="center" wrapText="1"/>
    </xf>
    <xf numFmtId="0" fontId="3" fillId="0" borderId="18" xfId="0" applyNumberFormat="1" applyFont="1" applyBorder="1"/>
    <xf numFmtId="0" fontId="7" fillId="0" borderId="17" xfId="0" applyNumberFormat="1" applyFont="1" applyBorder="1"/>
    <xf numFmtId="39" fontId="8" fillId="0" borderId="17" xfId="0" applyNumberFormat="1" applyFont="1" applyBorder="1"/>
    <xf numFmtId="39" fontId="8" fillId="0" borderId="18" xfId="0" applyNumberFormat="1" applyFont="1" applyBorder="1"/>
    <xf numFmtId="0" fontId="7" fillId="0" borderId="19" xfId="0" applyNumberFormat="1" applyFont="1" applyBorder="1"/>
    <xf numFmtId="39" fontId="8" fillId="0" borderId="19" xfId="0" applyNumberFormat="1" applyFont="1" applyBorder="1"/>
    <xf numFmtId="39" fontId="8" fillId="0" borderId="19" xfId="0" applyNumberFormat="1" applyFont="1" applyBorder="1" applyAlignment="1">
      <alignment horizontal="center"/>
    </xf>
    <xf numFmtId="39" fontId="8" fillId="0" borderId="40" xfId="0" applyNumberFormat="1" applyFont="1" applyBorder="1"/>
    <xf numFmtId="0" fontId="8" fillId="0" borderId="19" xfId="0" applyNumberFormat="1" applyFont="1" applyBorder="1"/>
    <xf numFmtId="43" fontId="2" fillId="0" borderId="0" xfId="8" applyFont="1" applyAlignment="1">
      <alignment vertical="center"/>
    </xf>
    <xf numFmtId="168" fontId="17" fillId="6" borderId="13" xfId="6" applyNumberFormat="1" applyFont="1" applyFill="1" applyBorder="1" applyAlignment="1">
      <alignment vertical="center"/>
    </xf>
    <xf numFmtId="166" fontId="13" fillId="6" borderId="14" xfId="6" applyFont="1" applyFill="1" applyBorder="1" applyAlignment="1">
      <alignment vertical="center"/>
    </xf>
    <xf numFmtId="43" fontId="13" fillId="6" borderId="14" xfId="2" applyFont="1" applyFill="1" applyBorder="1" applyAlignment="1" applyProtection="1">
      <alignment vertical="center"/>
    </xf>
    <xf numFmtId="166" fontId="17" fillId="6" borderId="14" xfId="6" applyFont="1" applyFill="1" applyBorder="1" applyAlignment="1">
      <alignment vertical="center"/>
    </xf>
    <xf numFmtId="43" fontId="17" fillId="6" borderId="14" xfId="3" applyFont="1" applyFill="1" applyBorder="1" applyAlignment="1" applyProtection="1">
      <alignment vertical="center"/>
    </xf>
    <xf numFmtId="43" fontId="17" fillId="6" borderId="14" xfId="2" applyFont="1" applyFill="1" applyBorder="1" applyAlignment="1" applyProtection="1">
      <alignment vertical="center"/>
    </xf>
    <xf numFmtId="43" fontId="13" fillId="6" borderId="15" xfId="2" applyFont="1" applyFill="1" applyBorder="1" applyAlignment="1" applyProtection="1">
      <alignment vertical="center"/>
    </xf>
    <xf numFmtId="166" fontId="8" fillId="0" borderId="0" xfId="0" applyFont="1"/>
    <xf numFmtId="4" fontId="8" fillId="0" borderId="0" xfId="0" applyNumberFormat="1" applyFont="1" applyAlignment="1">
      <alignment horizontal="center"/>
    </xf>
    <xf numFmtId="43" fontId="8" fillId="0" borderId="0" xfId="9" applyFont="1" applyBorder="1" applyAlignment="1">
      <alignment horizontal="center"/>
    </xf>
    <xf numFmtId="43" fontId="8" fillId="0" borderId="0" xfId="9" applyFont="1" applyAlignment="1">
      <alignment horizontal="center"/>
    </xf>
    <xf numFmtId="166" fontId="8" fillId="0" borderId="0" xfId="0" applyFont="1" applyAlignment="1">
      <alignment horizontal="center"/>
    </xf>
    <xf numFmtId="166" fontId="7" fillId="0" borderId="1" xfId="0" applyFont="1" applyBorder="1" applyAlignment="1">
      <alignment horizontal="center"/>
    </xf>
    <xf numFmtId="166" fontId="7" fillId="0" borderId="2" xfId="0" applyFont="1" applyBorder="1" applyAlignment="1">
      <alignment horizontal="center"/>
    </xf>
    <xf numFmtId="43" fontId="7" fillId="0" borderId="2" xfId="9" applyFont="1" applyBorder="1" applyAlignment="1" applyProtection="1">
      <alignment horizontal="center"/>
    </xf>
    <xf numFmtId="166" fontId="7" fillId="0" borderId="2" xfId="0" quotePrefix="1" applyFont="1" applyBorder="1" applyAlignment="1">
      <alignment horizontal="center"/>
    </xf>
    <xf numFmtId="43" fontId="7" fillId="0" borderId="2" xfId="9" quotePrefix="1" applyFont="1" applyBorder="1" applyAlignment="1" applyProtection="1">
      <alignment horizontal="center"/>
    </xf>
    <xf numFmtId="43" fontId="7" fillId="0" borderId="25" xfId="9" applyFont="1" applyBorder="1" applyAlignment="1" applyProtection="1">
      <alignment horizontal="center"/>
    </xf>
    <xf numFmtId="39" fontId="7" fillId="0" borderId="2" xfId="0" applyNumberFormat="1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43" fontId="8" fillId="0" borderId="0" xfId="9" quotePrefix="1" applyFont="1" applyBorder="1" applyAlignment="1">
      <alignment horizontal="center"/>
    </xf>
    <xf numFmtId="166" fontId="7" fillId="0" borderId="0" xfId="0" applyFont="1" applyAlignment="1">
      <alignment horizontal="right"/>
    </xf>
    <xf numFmtId="43" fontId="7" fillId="0" borderId="0" xfId="9" applyFont="1" applyBorder="1" applyAlignment="1">
      <alignment horizontal="center"/>
    </xf>
    <xf numFmtId="43" fontId="7" fillId="0" borderId="0" xfId="9" quotePrefix="1" applyFont="1" applyBorder="1" applyAlignment="1">
      <alignment horizontal="center"/>
    </xf>
    <xf numFmtId="166" fontId="7" fillId="0" borderId="0" xfId="0" quotePrefix="1" applyFont="1" applyAlignment="1">
      <alignment horizontal="left"/>
    </xf>
    <xf numFmtId="166" fontId="7" fillId="0" borderId="0" xfId="0" applyFont="1"/>
    <xf numFmtId="166" fontId="7" fillId="0" borderId="4" xfId="0" applyFont="1" applyBorder="1" applyAlignment="1">
      <alignment horizontal="center"/>
    </xf>
    <xf numFmtId="166" fontId="7" fillId="0" borderId="4" xfId="0" quotePrefix="1" applyFont="1" applyBorder="1" applyAlignment="1">
      <alignment horizontal="center"/>
    </xf>
    <xf numFmtId="43" fontId="7" fillId="0" borderId="3" xfId="9" quotePrefix="1" applyFont="1" applyBorder="1" applyAlignment="1" applyProtection="1">
      <alignment horizontal="center"/>
    </xf>
    <xf numFmtId="43" fontId="7" fillId="0" borderId="4" xfId="9" quotePrefix="1" applyFont="1" applyBorder="1" applyAlignment="1" applyProtection="1">
      <alignment horizontal="center"/>
    </xf>
    <xf numFmtId="43" fontId="7" fillId="0" borderId="5" xfId="9" applyFont="1" applyBorder="1" applyAlignment="1" applyProtection="1">
      <alignment horizontal="center"/>
    </xf>
    <xf numFmtId="43" fontId="7" fillId="0" borderId="6" xfId="9" applyFont="1" applyBorder="1" applyAlignment="1" applyProtection="1">
      <alignment horizontal="center"/>
    </xf>
    <xf numFmtId="39" fontId="7" fillId="0" borderId="4" xfId="0" applyNumberFormat="1" applyFont="1" applyBorder="1" applyAlignment="1">
      <alignment horizontal="center"/>
    </xf>
    <xf numFmtId="43" fontId="7" fillId="0" borderId="3" xfId="9" applyFont="1" applyBorder="1" applyAlignment="1" applyProtection="1">
      <alignment horizontal="center"/>
    </xf>
    <xf numFmtId="43" fontId="7" fillId="0" borderId="4" xfId="9" applyFont="1" applyBorder="1" applyAlignment="1" applyProtection="1">
      <alignment horizontal="center"/>
    </xf>
    <xf numFmtId="43" fontId="7" fillId="0" borderId="0" xfId="9" applyFont="1" applyBorder="1" applyAlignment="1" applyProtection="1">
      <alignment horizontal="center"/>
    </xf>
    <xf numFmtId="166" fontId="22" fillId="3" borderId="4" xfId="0" quotePrefix="1" applyFont="1" applyFill="1" applyBorder="1" applyAlignment="1">
      <alignment horizontal="center"/>
    </xf>
    <xf numFmtId="39" fontId="22" fillId="3" borderId="4" xfId="0" applyNumberFormat="1" applyFont="1" applyFill="1" applyBorder="1" applyAlignment="1">
      <alignment horizontal="center"/>
    </xf>
    <xf numFmtId="43" fontId="8" fillId="0" borderId="0" xfId="9" applyFont="1" applyAlignment="1">
      <alignment vertical="center"/>
    </xf>
    <xf numFmtId="166" fontId="9" fillId="0" borderId="46" xfId="0" applyFont="1" applyBorder="1" applyAlignment="1">
      <alignment vertical="center" wrapText="1"/>
    </xf>
    <xf numFmtId="166" fontId="9" fillId="0" borderId="47" xfId="0" applyFont="1" applyBorder="1" applyAlignment="1">
      <alignment vertical="center" wrapText="1"/>
    </xf>
    <xf numFmtId="39" fontId="9" fillId="0" borderId="47" xfId="0" applyNumberFormat="1" applyFont="1" applyBorder="1" applyAlignment="1">
      <alignment vertical="center" wrapText="1"/>
    </xf>
    <xf numFmtId="164" fontId="10" fillId="0" borderId="48" xfId="3" applyNumberFormat="1" applyFont="1" applyBorder="1" applyAlignment="1" applyProtection="1">
      <alignment vertical="center" wrapText="1"/>
    </xf>
    <xf numFmtId="166" fontId="9" fillId="0" borderId="19" xfId="0" applyFont="1" applyBorder="1" applyAlignment="1">
      <alignment vertical="center" wrapText="1"/>
    </xf>
    <xf numFmtId="10" fontId="9" fillId="0" borderId="19" xfId="0" applyNumberFormat="1" applyFont="1" applyBorder="1" applyAlignment="1">
      <alignment vertical="center" wrapText="1"/>
    </xf>
    <xf numFmtId="39" fontId="9" fillId="0" borderId="19" xfId="0" applyNumberFormat="1" applyFont="1" applyBorder="1" applyAlignment="1">
      <alignment vertical="center" wrapText="1"/>
    </xf>
    <xf numFmtId="164" fontId="10" fillId="0" borderId="49" xfId="3" applyNumberFormat="1" applyFont="1" applyBorder="1" applyAlignment="1" applyProtection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39" fontId="8" fillId="0" borderId="19" xfId="0" applyNumberFormat="1" applyFont="1" applyBorder="1" applyAlignment="1">
      <alignment vertical="center" wrapText="1"/>
    </xf>
    <xf numFmtId="164" fontId="7" fillId="0" borderId="49" xfId="3" applyNumberFormat="1" applyFont="1" applyFill="1" applyBorder="1" applyAlignment="1" applyProtection="1">
      <alignment vertical="center" wrapText="1"/>
    </xf>
    <xf numFmtId="49" fontId="7" fillId="12" borderId="50" xfId="0" applyNumberFormat="1" applyFont="1" applyFill="1" applyBorder="1" applyAlignment="1">
      <alignment horizontal="right" vertical="center" wrapText="1"/>
    </xf>
    <xf numFmtId="0" fontId="7" fillId="12" borderId="51" xfId="0" applyNumberFormat="1" applyFont="1" applyFill="1" applyBorder="1" applyAlignment="1">
      <alignment vertical="center" wrapText="1"/>
    </xf>
    <xf numFmtId="43" fontId="7" fillId="12" borderId="51" xfId="11" applyNumberFormat="1" applyFont="1" applyFill="1" applyBorder="1" applyAlignment="1" applyProtection="1">
      <alignment horizontal="center" vertical="center" wrapText="1"/>
    </xf>
    <xf numFmtId="0" fontId="7" fillId="12" borderId="51" xfId="0" applyNumberFormat="1" applyFont="1" applyFill="1" applyBorder="1" applyAlignment="1">
      <alignment horizontal="center" vertical="center" wrapText="1"/>
    </xf>
    <xf numFmtId="43" fontId="7" fillId="12" borderId="51" xfId="11" applyNumberFormat="1" applyFont="1" applyFill="1" applyBorder="1" applyAlignment="1" applyProtection="1">
      <alignment horizontal="right" vertical="center" wrapText="1"/>
    </xf>
    <xf numFmtId="170" fontId="7" fillId="12" borderId="52" xfId="11" applyNumberFormat="1" applyFont="1" applyFill="1" applyBorder="1" applyAlignment="1" applyProtection="1">
      <alignment horizontal="right" vertical="center" wrapText="1"/>
    </xf>
    <xf numFmtId="166" fontId="9" fillId="0" borderId="53" xfId="0" applyFont="1" applyBorder="1" applyAlignment="1">
      <alignment horizontal="fill" vertical="center" wrapText="1"/>
    </xf>
    <xf numFmtId="166" fontId="10" fillId="0" borderId="54" xfId="0" applyFont="1" applyBorder="1" applyAlignment="1">
      <alignment vertical="center" wrapText="1"/>
    </xf>
    <xf numFmtId="166" fontId="9" fillId="0" borderId="54" xfId="0" applyFont="1" applyBorder="1" applyAlignment="1">
      <alignment vertical="center" wrapText="1"/>
    </xf>
    <xf numFmtId="164" fontId="10" fillId="0" borderId="55" xfId="3" applyNumberFormat="1" applyFont="1" applyFill="1" applyBorder="1" applyAlignment="1" applyProtection="1">
      <alignment vertical="center" wrapText="1"/>
    </xf>
    <xf numFmtId="10" fontId="8" fillId="12" borderId="51" xfId="12" applyNumberFormat="1" applyFont="1" applyFill="1" applyBorder="1" applyAlignment="1" applyProtection="1">
      <alignment horizontal="center" vertical="center" wrapText="1"/>
    </xf>
    <xf numFmtId="10" fontId="9" fillId="0" borderId="54" xfId="12" applyNumberFormat="1" applyFont="1" applyFill="1" applyBorder="1" applyAlignment="1" applyProtection="1">
      <alignment vertical="center" wrapText="1"/>
    </xf>
    <xf numFmtId="0" fontId="18" fillId="0" borderId="59" xfId="6" applyNumberFormat="1" applyFont="1" applyBorder="1" applyAlignment="1">
      <alignment vertical="center" wrapText="1"/>
    </xf>
    <xf numFmtId="0" fontId="18" fillId="0" borderId="60" xfId="6" applyNumberFormat="1" applyFont="1" applyBorder="1" applyAlignment="1">
      <alignment vertical="center" wrapText="1"/>
    </xf>
    <xf numFmtId="43" fontId="18" fillId="0" borderId="60" xfId="2" applyFont="1" applyBorder="1" applyAlignment="1">
      <alignment vertical="center" wrapText="1"/>
    </xf>
    <xf numFmtId="4" fontId="2" fillId="0" borderId="60" xfId="6" applyNumberFormat="1" applyBorder="1" applyAlignment="1">
      <alignment horizontal="right" vertical="center" wrapText="1"/>
    </xf>
    <xf numFmtId="43" fontId="17" fillId="0" borderId="60" xfId="2" applyFont="1" applyBorder="1" applyAlignment="1">
      <alignment vertical="center" wrapText="1"/>
    </xf>
    <xf numFmtId="43" fontId="13" fillId="0" borderId="61" xfId="2" applyFont="1" applyBorder="1" applyAlignment="1">
      <alignment vertical="center" wrapText="1"/>
    </xf>
    <xf numFmtId="14" fontId="8" fillId="0" borderId="17" xfId="0" applyNumberFormat="1" applyFont="1" applyBorder="1" applyAlignment="1">
      <alignment vertical="center" wrapText="1"/>
    </xf>
    <xf numFmtId="167" fontId="8" fillId="0" borderId="62" xfId="0" applyNumberFormat="1" applyFont="1" applyBorder="1" applyAlignment="1">
      <alignment horizontal="right" vertical="center"/>
    </xf>
    <xf numFmtId="166" fontId="8" fillId="0" borderId="63" xfId="0" applyFont="1" applyBorder="1" applyAlignment="1">
      <alignment vertical="center"/>
    </xf>
    <xf numFmtId="4" fontId="2" fillId="0" borderId="63" xfId="0" applyNumberFormat="1" applyFont="1" applyBorder="1"/>
    <xf numFmtId="0" fontId="2" fillId="0" borderId="63" xfId="0" quotePrefix="1" applyNumberFormat="1" applyFont="1" applyBorder="1" applyAlignment="1">
      <alignment horizontal="center"/>
    </xf>
    <xf numFmtId="4" fontId="2" fillId="0" borderId="64" xfId="0" applyNumberFormat="1" applyFont="1" applyBorder="1"/>
    <xf numFmtId="166" fontId="7" fillId="0" borderId="17" xfId="0" applyFont="1" applyBorder="1" applyAlignment="1">
      <alignment vertical="center"/>
    </xf>
    <xf numFmtId="166" fontId="8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horizontal="right" vertical="center" wrapText="1"/>
    </xf>
    <xf numFmtId="166" fontId="8" fillId="0" borderId="17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166" fontId="7" fillId="0" borderId="17" xfId="0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166" fontId="8" fillId="0" borderId="17" xfId="0" applyFont="1" applyBorder="1" applyAlignment="1">
      <alignment horizontal="left" vertical="center" wrapText="1"/>
    </xf>
    <xf numFmtId="166" fontId="8" fillId="0" borderId="17" xfId="0" applyFont="1" applyBorder="1" applyAlignment="1">
      <alignment vertical="center" wrapText="1"/>
    </xf>
    <xf numFmtId="49" fontId="7" fillId="13" borderId="50" xfId="0" applyNumberFormat="1" applyFont="1" applyFill="1" applyBorder="1" applyAlignment="1">
      <alignment horizontal="right" vertical="center" wrapText="1"/>
    </xf>
    <xf numFmtId="0" fontId="7" fillId="13" borderId="51" xfId="0" applyNumberFormat="1" applyFont="1" applyFill="1" applyBorder="1" applyAlignment="1">
      <alignment vertical="center" wrapText="1"/>
    </xf>
    <xf numFmtId="10" fontId="8" fillId="13" borderId="51" xfId="12" applyNumberFormat="1" applyFont="1" applyFill="1" applyBorder="1" applyAlignment="1" applyProtection="1">
      <alignment horizontal="center" vertical="center" wrapText="1"/>
    </xf>
    <xf numFmtId="0" fontId="7" fillId="13" borderId="51" xfId="0" applyNumberFormat="1" applyFont="1" applyFill="1" applyBorder="1" applyAlignment="1">
      <alignment horizontal="center" vertical="center" wrapText="1"/>
    </xf>
    <xf numFmtId="43" fontId="7" fillId="13" borderId="51" xfId="11" applyNumberFormat="1" applyFont="1" applyFill="1" applyBorder="1" applyAlignment="1" applyProtection="1">
      <alignment horizontal="right" vertical="center" wrapText="1"/>
    </xf>
    <xf numFmtId="170" fontId="7" fillId="13" borderId="52" xfId="11" applyNumberFormat="1" applyFont="1" applyFill="1" applyBorder="1" applyAlignment="1" applyProtection="1">
      <alignment horizontal="right" vertical="center" wrapText="1"/>
    </xf>
    <xf numFmtId="173" fontId="28" fillId="0" borderId="0" xfId="6" applyNumberFormat="1" applyFont="1" applyAlignment="1">
      <alignment vertical="center"/>
    </xf>
    <xf numFmtId="166" fontId="28" fillId="0" borderId="0" xfId="6" applyFont="1" applyAlignment="1">
      <alignment horizontal="left" vertical="center"/>
    </xf>
    <xf numFmtId="43" fontId="28" fillId="0" borderId="0" xfId="15" applyFont="1" applyBorder="1" applyAlignment="1" applyProtection="1">
      <alignment vertical="center"/>
    </xf>
    <xf numFmtId="43" fontId="29" fillId="0" borderId="0" xfId="15" applyFont="1" applyBorder="1" applyAlignment="1" applyProtection="1">
      <alignment vertical="center"/>
    </xf>
    <xf numFmtId="173" fontId="30" fillId="0" borderId="0" xfId="6" applyNumberFormat="1" applyFont="1" applyAlignment="1">
      <alignment vertical="center"/>
    </xf>
    <xf numFmtId="166" fontId="29" fillId="0" borderId="0" xfId="6" applyFont="1" applyAlignment="1">
      <alignment horizontal="left" vertical="center"/>
    </xf>
    <xf numFmtId="43" fontId="31" fillId="0" borderId="0" xfId="15" applyFont="1" applyBorder="1" applyAlignment="1" applyProtection="1">
      <alignment vertical="center"/>
    </xf>
    <xf numFmtId="43" fontId="30" fillId="0" borderId="0" xfId="15" applyFont="1" applyBorder="1" applyAlignment="1" applyProtection="1">
      <alignment vertical="center"/>
    </xf>
    <xf numFmtId="166" fontId="32" fillId="0" borderId="0" xfId="6" applyFont="1" applyAlignment="1">
      <alignment horizontal="left" vertical="center"/>
    </xf>
    <xf numFmtId="43" fontId="32" fillId="0" borderId="0" xfId="15" applyFont="1" applyBorder="1" applyAlignment="1" applyProtection="1">
      <alignment vertical="center"/>
    </xf>
    <xf numFmtId="43" fontId="32" fillId="0" borderId="0" xfId="14" applyFont="1" applyBorder="1" applyAlignment="1" applyProtection="1">
      <alignment vertical="center"/>
    </xf>
    <xf numFmtId="173" fontId="29" fillId="0" borderId="0" xfId="6" applyNumberFormat="1" applyFont="1" applyAlignment="1">
      <alignment vertical="center"/>
    </xf>
    <xf numFmtId="43" fontId="33" fillId="0" borderId="0" xfId="15" applyFont="1" applyBorder="1" applyAlignment="1" applyProtection="1">
      <alignment vertical="center"/>
    </xf>
    <xf numFmtId="0" fontId="34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49" fontId="7" fillId="12" borderId="46" xfId="0" applyNumberFormat="1" applyFont="1" applyFill="1" applyBorder="1" applyAlignment="1">
      <alignment horizontal="right" vertical="center" wrapText="1"/>
    </xf>
    <xf numFmtId="0" fontId="7" fillId="12" borderId="47" xfId="0" applyNumberFormat="1" applyFont="1" applyFill="1" applyBorder="1" applyAlignment="1">
      <alignment vertical="center" wrapText="1"/>
    </xf>
    <xf numFmtId="43" fontId="7" fillId="12" borderId="47" xfId="11" applyNumberFormat="1" applyFont="1" applyFill="1" applyBorder="1" applyAlignment="1" applyProtection="1">
      <alignment horizontal="right" vertical="center" wrapText="1"/>
    </xf>
    <xf numFmtId="170" fontId="7" fillId="12" borderId="48" xfId="11" applyNumberFormat="1" applyFont="1" applyFill="1" applyBorder="1" applyAlignment="1" applyProtection="1">
      <alignment horizontal="right" vertical="center" wrapText="1"/>
    </xf>
    <xf numFmtId="166" fontId="9" fillId="0" borderId="54" xfId="0" applyFont="1" applyBorder="1" applyAlignment="1">
      <alignment horizontal="center" vertical="center" wrapText="1"/>
    </xf>
    <xf numFmtId="43" fontId="8" fillId="12" borderId="51" xfId="11" applyNumberFormat="1" applyFont="1" applyFill="1" applyBorder="1" applyAlignment="1" applyProtection="1">
      <alignment vertical="center" wrapText="1"/>
    </xf>
    <xf numFmtId="0" fontId="8" fillId="12" borderId="47" xfId="0" applyNumberFormat="1" applyFont="1" applyFill="1" applyBorder="1" applyAlignment="1">
      <alignment horizontal="center" vertical="center" wrapText="1"/>
    </xf>
    <xf numFmtId="0" fontId="8" fillId="12" borderId="47" xfId="0" applyNumberFormat="1" applyFont="1" applyFill="1" applyBorder="1" applyAlignment="1">
      <alignment vertical="center" wrapText="1"/>
    </xf>
    <xf numFmtId="10" fontId="9" fillId="6" borderId="19" xfId="0" applyNumberFormat="1" applyFont="1" applyFill="1" applyBorder="1" applyAlignment="1">
      <alignment vertical="center" wrapText="1"/>
    </xf>
    <xf numFmtId="13" fontId="8" fillId="0" borderId="0" xfId="3" applyNumberFormat="1" applyFont="1" applyAlignment="1">
      <alignment vertical="center"/>
    </xf>
    <xf numFmtId="43" fontId="36" fillId="0" borderId="31" xfId="2" applyFont="1" applyBorder="1" applyAlignment="1">
      <alignment horizontal="right" vertical="center" wrapText="1"/>
    </xf>
    <xf numFmtId="4" fontId="37" fillId="0" borderId="31" xfId="6" applyNumberFormat="1" applyFont="1" applyBorder="1" applyAlignment="1">
      <alignment horizontal="right" vertical="center" wrapText="1"/>
    </xf>
    <xf numFmtId="4" fontId="37" fillId="0" borderId="16" xfId="0" applyNumberFormat="1" applyFont="1" applyBorder="1" applyAlignment="1">
      <alignment vertical="center" wrapText="1"/>
    </xf>
    <xf numFmtId="0" fontId="36" fillId="0" borderId="31" xfId="6" applyNumberFormat="1" applyFont="1" applyBorder="1" applyAlignment="1">
      <alignment vertical="center" wrapText="1"/>
    </xf>
    <xf numFmtId="0" fontId="36" fillId="0" borderId="31" xfId="6" applyNumberFormat="1" applyFont="1" applyBorder="1" applyAlignment="1">
      <alignment horizontal="center" vertical="center" wrapText="1"/>
    </xf>
    <xf numFmtId="167" fontId="36" fillId="0" borderId="41" xfId="6" applyNumberFormat="1" applyFont="1" applyBorder="1" applyAlignment="1">
      <alignment vertical="center" wrapText="1"/>
    </xf>
    <xf numFmtId="43" fontId="39" fillId="0" borderId="42" xfId="2" applyFont="1" applyBorder="1" applyAlignment="1">
      <alignment vertical="center" wrapText="1"/>
    </xf>
    <xf numFmtId="43" fontId="36" fillId="0" borderId="44" xfId="2" applyFont="1" applyBorder="1" applyAlignment="1">
      <alignment horizontal="right" vertical="center" wrapText="1"/>
    </xf>
    <xf numFmtId="0" fontId="36" fillId="0" borderId="44" xfId="6" applyNumberFormat="1" applyFont="1" applyBorder="1" applyAlignment="1">
      <alignment horizontal="center" vertical="center" wrapText="1"/>
    </xf>
    <xf numFmtId="43" fontId="39" fillId="0" borderId="45" xfId="2" applyFont="1" applyBorder="1" applyAlignment="1">
      <alignment vertical="center" wrapText="1"/>
    </xf>
    <xf numFmtId="166" fontId="40" fillId="0" borderId="72" xfId="0" applyFont="1" applyBorder="1" applyAlignment="1">
      <alignment horizontal="left" vertical="center"/>
    </xf>
    <xf numFmtId="166" fontId="40" fillId="0" borderId="73" xfId="0" applyFont="1" applyBorder="1" applyAlignment="1">
      <alignment horizontal="left" vertical="center" wrapText="1"/>
    </xf>
    <xf numFmtId="166" fontId="40" fillId="0" borderId="74" xfId="0" applyFont="1" applyBorder="1" applyAlignment="1">
      <alignment horizontal="left" vertical="center"/>
    </xf>
    <xf numFmtId="166" fontId="40" fillId="0" borderId="72" xfId="0" applyFont="1" applyBorder="1" applyAlignment="1">
      <alignment horizontal="right" vertical="center"/>
    </xf>
    <xf numFmtId="43" fontId="40" fillId="0" borderId="74" xfId="2" applyFont="1" applyBorder="1" applyAlignment="1" applyProtection="1">
      <alignment horizontal="left" vertical="center"/>
    </xf>
    <xf numFmtId="166" fontId="40" fillId="0" borderId="74" xfId="0" applyFont="1" applyBorder="1" applyAlignment="1">
      <alignment horizontal="center" vertical="center"/>
    </xf>
    <xf numFmtId="166" fontId="29" fillId="0" borderId="72" xfId="0" applyFont="1" applyBorder="1" applyAlignment="1">
      <alignment horizontal="right" vertical="center"/>
    </xf>
    <xf numFmtId="43" fontId="29" fillId="0" borderId="74" xfId="2" applyFont="1" applyBorder="1" applyAlignment="1" applyProtection="1">
      <alignment horizontal="left" vertical="center"/>
    </xf>
    <xf numFmtId="166" fontId="29" fillId="0" borderId="74" xfId="0" applyFont="1" applyBorder="1" applyAlignment="1">
      <alignment horizontal="center" vertical="center"/>
    </xf>
    <xf numFmtId="166" fontId="29" fillId="0" borderId="74" xfId="0" applyFont="1" applyBorder="1" applyAlignment="1">
      <alignment horizontal="left" vertical="center"/>
    </xf>
    <xf numFmtId="43" fontId="43" fillId="0" borderId="74" xfId="2" applyFont="1" applyFill="1" applyBorder="1" applyAlignment="1" applyProtection="1">
      <alignment horizontal="left" vertical="center"/>
    </xf>
    <xf numFmtId="1" fontId="42" fillId="14" borderId="75" xfId="0" applyNumberFormat="1" applyFont="1" applyFill="1" applyBorder="1" applyAlignment="1">
      <alignment horizontal="right" vertical="center" wrapText="1"/>
    </xf>
    <xf numFmtId="166" fontId="41" fillId="14" borderId="76" xfId="0" applyFont="1" applyFill="1" applyBorder="1" applyAlignment="1">
      <alignment horizontal="center" vertical="center" wrapText="1"/>
    </xf>
    <xf numFmtId="174" fontId="42" fillId="14" borderId="76" xfId="0" applyNumberFormat="1" applyFont="1" applyFill="1" applyBorder="1" applyAlignment="1">
      <alignment horizontal="right" vertical="center" wrapText="1"/>
    </xf>
    <xf numFmtId="174" fontId="42" fillId="14" borderId="76" xfId="0" applyNumberFormat="1" applyFont="1" applyFill="1" applyBorder="1" applyAlignment="1">
      <alignment horizontal="center" vertical="center" wrapText="1"/>
    </xf>
    <xf numFmtId="174" fontId="42" fillId="14" borderId="76" xfId="0" applyNumberFormat="1" applyFont="1" applyFill="1" applyBorder="1" applyAlignment="1">
      <alignment vertical="center" wrapText="1"/>
    </xf>
    <xf numFmtId="175" fontId="41" fillId="14" borderId="77" xfId="0" applyNumberFormat="1" applyFont="1" applyFill="1" applyBorder="1" applyAlignment="1">
      <alignment horizontal="right" vertical="center" wrapText="1"/>
    </xf>
    <xf numFmtId="166" fontId="8" fillId="0" borderId="74" xfId="0" applyFont="1" applyBorder="1" applyAlignment="1">
      <alignment horizontal="left" vertical="center"/>
    </xf>
    <xf numFmtId="13" fontId="8" fillId="0" borderId="0" xfId="2" applyNumberFormat="1" applyFont="1" applyAlignment="1">
      <alignment vertical="center"/>
    </xf>
    <xf numFmtId="12" fontId="8" fillId="0" borderId="0" xfId="2" applyNumberFormat="1" applyFont="1" applyAlignment="1">
      <alignment vertical="center"/>
    </xf>
    <xf numFmtId="166" fontId="29" fillId="0" borderId="74" xfId="0" applyFont="1" applyBorder="1" applyAlignment="1">
      <alignment horizontal="left" vertical="center" wrapText="1"/>
    </xf>
    <xf numFmtId="166" fontId="40" fillId="0" borderId="72" xfId="0" applyFont="1" applyBorder="1" applyAlignment="1">
      <alignment horizontal="left" vertical="center" wrapText="1"/>
    </xf>
    <xf numFmtId="166" fontId="40" fillId="0" borderId="74" xfId="0" applyFont="1" applyBorder="1" applyAlignment="1">
      <alignment horizontal="left" vertical="center" wrapText="1"/>
    </xf>
    <xf numFmtId="166" fontId="8" fillId="0" borderId="74" xfId="0" applyFont="1" applyBorder="1" applyAlignment="1">
      <alignment horizontal="left" vertical="center" wrapText="1"/>
    </xf>
    <xf numFmtId="43" fontId="8" fillId="0" borderId="74" xfId="2" applyFont="1" applyBorder="1" applyAlignment="1" applyProtection="1">
      <alignment horizontal="left" vertical="center" wrapText="1"/>
    </xf>
    <xf numFmtId="166" fontId="8" fillId="0" borderId="74" xfId="0" applyFont="1" applyBorder="1" applyAlignment="1">
      <alignment horizontal="center" vertical="center" wrapText="1"/>
    </xf>
    <xf numFmtId="43" fontId="25" fillId="0" borderId="74" xfId="2" applyFont="1" applyFill="1" applyBorder="1" applyAlignment="1" applyProtection="1">
      <alignment horizontal="left" vertical="center" wrapText="1"/>
    </xf>
    <xf numFmtId="166" fontId="40" fillId="0" borderId="72" xfId="0" applyFont="1" applyBorder="1" applyAlignment="1">
      <alignment horizontal="right" vertical="center" wrapText="1"/>
    </xf>
    <xf numFmtId="43" fontId="40" fillId="0" borderId="74" xfId="2" applyFont="1" applyBorder="1" applyAlignment="1" applyProtection="1">
      <alignment horizontal="left" vertical="center" wrapText="1"/>
    </xf>
    <xf numFmtId="166" fontId="40" fillId="0" borderId="74" xfId="0" applyFont="1" applyBorder="1" applyAlignment="1">
      <alignment horizontal="center" vertical="center" wrapText="1"/>
    </xf>
    <xf numFmtId="166" fontId="29" fillId="0" borderId="72" xfId="0" applyFont="1" applyBorder="1" applyAlignment="1">
      <alignment horizontal="right" vertical="center" wrapText="1"/>
    </xf>
    <xf numFmtId="43" fontId="29" fillId="0" borderId="74" xfId="2" applyFont="1" applyBorder="1" applyAlignment="1" applyProtection="1">
      <alignment horizontal="left" vertical="center" wrapText="1"/>
    </xf>
    <xf numFmtId="166" fontId="29" fillId="0" borderId="74" xfId="0" applyFont="1" applyBorder="1" applyAlignment="1">
      <alignment horizontal="center" vertical="center" wrapText="1"/>
    </xf>
    <xf numFmtId="166" fontId="7" fillId="0" borderId="74" xfId="0" applyFont="1" applyBorder="1" applyAlignment="1">
      <alignment horizontal="left" vertical="center" wrapText="1"/>
    </xf>
    <xf numFmtId="43" fontId="7" fillId="0" borderId="74" xfId="2" applyFont="1" applyBorder="1" applyAlignment="1" applyProtection="1">
      <alignment horizontal="left" vertical="center" wrapText="1"/>
    </xf>
    <xf numFmtId="166" fontId="7" fillId="0" borderId="74" xfId="0" applyFont="1" applyBorder="1" applyAlignment="1">
      <alignment horizontal="center" vertical="center" wrapText="1"/>
    </xf>
    <xf numFmtId="43" fontId="26" fillId="0" borderId="74" xfId="2" applyFont="1" applyFill="1" applyBorder="1" applyAlignment="1" applyProtection="1">
      <alignment horizontal="left" vertical="center" wrapText="1"/>
    </xf>
    <xf numFmtId="43" fontId="43" fillId="0" borderId="74" xfId="2" applyFont="1" applyFill="1" applyBorder="1" applyAlignment="1" applyProtection="1">
      <alignment horizontal="left" vertical="center" wrapText="1"/>
    </xf>
    <xf numFmtId="4" fontId="37" fillId="0" borderId="68" xfId="0" applyNumberFormat="1" applyFont="1" applyBorder="1" applyAlignment="1">
      <alignment vertical="center" wrapText="1"/>
    </xf>
    <xf numFmtId="0" fontId="38" fillId="15" borderId="31" xfId="11" applyFont="1" applyFill="1" applyBorder="1" applyAlignment="1" applyProtection="1">
      <alignment horizontal="center" vertical="center" wrapText="1"/>
    </xf>
    <xf numFmtId="0" fontId="38" fillId="0" borderId="31" xfId="11" applyFont="1" applyFill="1" applyBorder="1" applyAlignment="1" applyProtection="1">
      <alignment vertical="center" wrapText="1"/>
    </xf>
    <xf numFmtId="166" fontId="8" fillId="0" borderId="72" xfId="0" applyFont="1" applyBorder="1" applyAlignment="1">
      <alignment horizontal="right"/>
    </xf>
    <xf numFmtId="166" fontId="8" fillId="0" borderId="17" xfId="0" quotePrefix="1" applyFont="1" applyBorder="1" applyAlignment="1">
      <alignment horizontal="right"/>
    </xf>
    <xf numFmtId="166" fontId="8" fillId="0" borderId="18" xfId="0" applyFont="1" applyBorder="1"/>
    <xf numFmtId="166" fontId="7" fillId="0" borderId="72" xfId="0" applyFont="1" applyBorder="1" applyAlignment="1">
      <alignment horizontal="right"/>
    </xf>
    <xf numFmtId="166" fontId="9" fillId="0" borderId="17" xfId="0" applyFont="1" applyBorder="1" applyAlignment="1">
      <alignment horizontal="center"/>
    </xf>
    <xf numFmtId="166" fontId="9" fillId="0" borderId="17" xfId="0" applyFont="1" applyBorder="1" applyAlignment="1">
      <alignment horizontal="left"/>
    </xf>
    <xf numFmtId="166" fontId="9" fillId="0" borderId="72" xfId="0" applyFont="1" applyBorder="1" applyAlignment="1">
      <alignment horizontal="right"/>
    </xf>
    <xf numFmtId="166" fontId="10" fillId="0" borderId="72" xfId="0" applyFont="1" applyBorder="1" applyAlignment="1">
      <alignment horizontal="right"/>
    </xf>
    <xf numFmtId="166" fontId="10" fillId="0" borderId="17" xfId="0" applyFont="1" applyBorder="1" applyAlignment="1">
      <alignment horizontal="left"/>
    </xf>
    <xf numFmtId="166" fontId="9" fillId="0" borderId="17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166" fontId="9" fillId="0" borderId="72" xfId="0" quotePrefix="1" applyFont="1" applyBorder="1" applyAlignment="1">
      <alignment horizontal="right"/>
    </xf>
    <xf numFmtId="166" fontId="8" fillId="0" borderId="72" xfId="0" applyFont="1" applyBorder="1"/>
    <xf numFmtId="166" fontId="8" fillId="0" borderId="17" xfId="0" quotePrefix="1" applyFont="1" applyBorder="1" applyAlignment="1">
      <alignment horizontal="left"/>
    </xf>
    <xf numFmtId="43" fontId="8" fillId="0" borderId="18" xfId="2" applyFont="1" applyBorder="1" applyAlignment="1">
      <alignment horizontal="right"/>
    </xf>
    <xf numFmtId="1" fontId="44" fillId="16" borderId="75" xfId="0" applyNumberFormat="1" applyFont="1" applyFill="1" applyBorder="1" applyAlignment="1">
      <alignment horizontal="right" vertical="center" wrapText="1"/>
    </xf>
    <xf numFmtId="166" fontId="45" fillId="16" borderId="76" xfId="0" applyFont="1" applyFill="1" applyBorder="1" applyAlignment="1">
      <alignment horizontal="center" vertical="center" wrapText="1"/>
    </xf>
    <xf numFmtId="39" fontId="44" fillId="16" borderId="76" xfId="0" applyNumberFormat="1" applyFont="1" applyFill="1" applyBorder="1" applyAlignment="1">
      <alignment horizontal="right" vertical="center" wrapText="1"/>
    </xf>
    <xf numFmtId="39" fontId="44" fillId="16" borderId="76" xfId="0" applyNumberFormat="1" applyFont="1" applyFill="1" applyBorder="1" applyAlignment="1">
      <alignment horizontal="center" vertical="center" wrapText="1"/>
    </xf>
    <xf numFmtId="39" fontId="44" fillId="16" borderId="76" xfId="0" applyNumberFormat="1" applyFont="1" applyFill="1" applyBorder="1" applyAlignment="1">
      <alignment vertical="center" wrapText="1"/>
    </xf>
    <xf numFmtId="176" fontId="45" fillId="16" borderId="77" xfId="0" applyNumberFormat="1" applyFont="1" applyFill="1" applyBorder="1" applyAlignment="1">
      <alignment horizontal="right" vertical="center" wrapText="1"/>
    </xf>
    <xf numFmtId="167" fontId="36" fillId="0" borderId="43" xfId="6" applyNumberFormat="1" applyFont="1" applyBorder="1" applyAlignment="1">
      <alignment vertical="center" wrapText="1"/>
    </xf>
    <xf numFmtId="0" fontId="36" fillId="0" borderId="44" xfId="6" applyNumberFormat="1" applyFont="1" applyBorder="1" applyAlignment="1">
      <alignment vertical="center" wrapText="1"/>
    </xf>
    <xf numFmtId="4" fontId="37" fillId="0" borderId="44" xfId="6" applyNumberFormat="1" applyFont="1" applyBorder="1" applyAlignment="1">
      <alignment horizontal="right" vertical="center" wrapText="1"/>
    </xf>
    <xf numFmtId="49" fontId="37" fillId="0" borderId="56" xfId="0" applyNumberFormat="1" applyFont="1" applyBorder="1" applyAlignment="1">
      <alignment horizontal="right" vertical="center" wrapText="1"/>
    </xf>
    <xf numFmtId="166" fontId="37" fillId="0" borderId="57" xfId="0" applyFont="1" applyBorder="1" applyAlignment="1">
      <alignment vertical="center" wrapText="1"/>
    </xf>
    <xf numFmtId="0" fontId="37" fillId="15" borderId="57" xfId="11" applyFont="1" applyFill="1" applyBorder="1" applyAlignment="1" applyProtection="1">
      <alignment horizontal="center" vertical="center" wrapText="1"/>
    </xf>
    <xf numFmtId="166" fontId="37" fillId="0" borderId="57" xfId="0" applyFont="1" applyBorder="1" applyAlignment="1">
      <alignment horizontal="center" vertical="center" wrapText="1"/>
    </xf>
    <xf numFmtId="0" fontId="37" fillId="0" borderId="57" xfId="11" applyFont="1" applyFill="1" applyBorder="1" applyAlignment="1" applyProtection="1">
      <alignment vertical="center" wrapText="1"/>
    </xf>
    <xf numFmtId="0" fontId="37" fillId="0" borderId="57" xfId="11" applyFont="1" applyFill="1" applyBorder="1" applyAlignment="1" applyProtection="1">
      <alignment horizontal="right" vertical="center" wrapText="1"/>
    </xf>
    <xf numFmtId="170" fontId="39" fillId="0" borderId="58" xfId="0" applyNumberFormat="1" applyFont="1" applyBorder="1" applyAlignment="1">
      <alignment horizontal="right" vertical="center"/>
    </xf>
    <xf numFmtId="167" fontId="38" fillId="0" borderId="81" xfId="0" applyNumberFormat="1" applyFont="1" applyBorder="1" applyAlignment="1">
      <alignment vertical="center" wrapText="1"/>
    </xf>
    <xf numFmtId="166" fontId="38" fillId="0" borderId="31" xfId="0" applyFont="1" applyBorder="1" applyAlignment="1">
      <alignment vertical="center" wrapText="1"/>
    </xf>
    <xf numFmtId="166" fontId="38" fillId="0" borderId="31" xfId="0" applyFont="1" applyBorder="1" applyAlignment="1">
      <alignment horizontal="center" vertical="center" wrapText="1"/>
    </xf>
    <xf numFmtId="0" fontId="38" fillId="0" borderId="31" xfId="11" applyFont="1" applyFill="1" applyBorder="1" applyAlignment="1" applyProtection="1">
      <alignment horizontal="right" vertical="center" wrapText="1"/>
    </xf>
    <xf numFmtId="170" fontId="46" fillId="0" borderId="42" xfId="0" applyNumberFormat="1" applyFont="1" applyBorder="1" applyAlignment="1">
      <alignment horizontal="right" vertical="center"/>
    </xf>
    <xf numFmtId="168" fontId="3" fillId="4" borderId="82" xfId="0" applyNumberFormat="1" applyFont="1" applyFill="1" applyBorder="1" applyAlignment="1">
      <alignment horizontal="center"/>
    </xf>
    <xf numFmtId="166" fontId="2" fillId="0" borderId="82" xfId="0" applyFont="1" applyBorder="1" applyAlignment="1">
      <alignment horizontal="center"/>
    </xf>
    <xf numFmtId="43" fontId="2" fillId="0" borderId="82" xfId="2" applyFont="1" applyBorder="1" applyAlignment="1">
      <alignment horizontal="center"/>
    </xf>
    <xf numFmtId="39" fontId="2" fillId="0" borderId="82" xfId="0" applyNumberFormat="1" applyFont="1" applyBorder="1" applyAlignment="1">
      <alignment horizontal="center"/>
    </xf>
    <xf numFmtId="43" fontId="2" fillId="0" borderId="82" xfId="2" applyFont="1" applyFill="1" applyBorder="1" applyAlignment="1">
      <alignment horizontal="center"/>
    </xf>
    <xf numFmtId="39" fontId="2" fillId="4" borderId="82" xfId="0" applyNumberFormat="1" applyFont="1" applyFill="1" applyBorder="1" applyAlignment="1">
      <alignment horizontal="center"/>
    </xf>
    <xf numFmtId="39" fontId="37" fillId="0" borderId="82" xfId="0" applyNumberFormat="1" applyFont="1" applyBorder="1" applyAlignment="1">
      <alignment horizontal="center"/>
    </xf>
    <xf numFmtId="43" fontId="2" fillId="4" borderId="82" xfId="2" applyFont="1" applyFill="1" applyBorder="1" applyAlignment="1">
      <alignment horizontal="center"/>
    </xf>
    <xf numFmtId="0" fontId="15" fillId="0" borderId="41" xfId="6" applyNumberFormat="1" applyFont="1" applyBorder="1" applyAlignment="1">
      <alignment vertical="center" wrapText="1"/>
    </xf>
    <xf numFmtId="0" fontId="15" fillId="0" borderId="31" xfId="6" applyNumberFormat="1" applyFont="1" applyBorder="1" applyAlignment="1">
      <alignment vertical="center" wrapText="1"/>
    </xf>
    <xf numFmtId="43" fontId="14" fillId="0" borderId="31" xfId="2" applyFont="1" applyBorder="1" applyAlignment="1">
      <alignment horizontal="right" vertical="center" wrapText="1"/>
    </xf>
    <xf numFmtId="0" fontId="14" fillId="0" borderId="31" xfId="6" applyNumberFormat="1" applyFont="1" applyBorder="1" applyAlignment="1">
      <alignment vertical="center" wrapText="1"/>
    </xf>
    <xf numFmtId="4" fontId="2" fillId="0" borderId="31" xfId="6" applyNumberFormat="1" applyBorder="1" applyAlignment="1">
      <alignment horizontal="right" vertical="center" wrapText="1"/>
    </xf>
    <xf numFmtId="43" fontId="2" fillId="0" borderId="31" xfId="2" applyFont="1" applyBorder="1" applyAlignment="1">
      <alignment vertical="center" wrapText="1"/>
    </xf>
    <xf numFmtId="43" fontId="3" fillId="0" borderId="42" xfId="2" applyFont="1" applyBorder="1" applyAlignment="1">
      <alignment vertical="center" wrapText="1"/>
    </xf>
    <xf numFmtId="167" fontId="14" fillId="0" borderId="41" xfId="6" applyNumberFormat="1" applyFont="1" applyBorder="1" applyAlignment="1">
      <alignment vertical="center" wrapText="1"/>
    </xf>
    <xf numFmtId="0" fontId="14" fillId="0" borderId="31" xfId="6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 wrapText="1"/>
    </xf>
    <xf numFmtId="1" fontId="3" fillId="0" borderId="80" xfId="0" applyNumberFormat="1" applyFont="1" applyBorder="1" applyAlignment="1">
      <alignment vertical="center" wrapText="1"/>
    </xf>
    <xf numFmtId="166" fontId="3" fillId="0" borderId="31" xfId="0" applyFont="1" applyBorder="1" applyAlignment="1">
      <alignment vertical="center" wrapText="1"/>
    </xf>
    <xf numFmtId="0" fontId="2" fillId="15" borderId="31" xfId="11" applyFont="1" applyFill="1" applyBorder="1" applyAlignment="1" applyProtection="1">
      <alignment horizontal="center" vertical="center" wrapText="1"/>
    </xf>
    <xf numFmtId="166" fontId="2" fillId="0" borderId="31" xfId="0" applyFont="1" applyBorder="1" applyAlignment="1">
      <alignment horizontal="center" vertical="center" wrapText="1"/>
    </xf>
    <xf numFmtId="0" fontId="2" fillId="0" borderId="31" xfId="11" applyFont="1" applyFill="1" applyBorder="1" applyAlignment="1" applyProtection="1">
      <alignment vertical="center" wrapText="1"/>
    </xf>
    <xf numFmtId="0" fontId="2" fillId="0" borderId="31" xfId="11" applyFont="1" applyFill="1" applyBorder="1" applyAlignment="1" applyProtection="1">
      <alignment horizontal="right" vertical="center" wrapText="1"/>
    </xf>
    <xf numFmtId="170" fontId="3" fillId="0" borderId="42" xfId="0" applyNumberFormat="1" applyFont="1" applyBorder="1" applyAlignment="1">
      <alignment horizontal="right" vertical="center"/>
    </xf>
    <xf numFmtId="167" fontId="2" fillId="0" borderId="81" xfId="0" applyNumberFormat="1" applyFont="1" applyBorder="1" applyAlignment="1">
      <alignment vertical="center" wrapText="1"/>
    </xf>
    <xf numFmtId="166" fontId="2" fillId="0" borderId="31" xfId="0" applyFont="1" applyBorder="1" applyAlignment="1">
      <alignment vertical="center" wrapText="1"/>
    </xf>
    <xf numFmtId="43" fontId="2" fillId="0" borderId="31" xfId="2" applyFont="1" applyFill="1" applyBorder="1" applyAlignment="1" applyProtection="1">
      <alignment horizontal="center" vertical="center" wrapText="1"/>
    </xf>
    <xf numFmtId="43" fontId="2" fillId="0" borderId="31" xfId="2" applyFont="1" applyFill="1" applyBorder="1" applyAlignment="1" applyProtection="1">
      <alignment vertical="center" wrapText="1"/>
    </xf>
    <xf numFmtId="43" fontId="2" fillId="0" borderId="31" xfId="2" applyFont="1" applyFill="1" applyBorder="1" applyAlignment="1" applyProtection="1">
      <alignment horizontal="right" vertical="center" wrapText="1"/>
    </xf>
    <xf numFmtId="43" fontId="2" fillId="15" borderId="31" xfId="2" applyFont="1" applyFill="1" applyBorder="1" applyAlignment="1" applyProtection="1">
      <alignment horizontal="center" vertical="center" wrapText="1"/>
    </xf>
    <xf numFmtId="166" fontId="8" fillId="0" borderId="31" xfId="0" applyFont="1" applyBorder="1" applyAlignment="1">
      <alignment horizontal="center" vertical="center" wrapText="1"/>
    </xf>
    <xf numFmtId="0" fontId="8" fillId="0" borderId="31" xfId="11" applyFont="1" applyFill="1" applyBorder="1" applyAlignment="1" applyProtection="1">
      <alignment vertical="center" wrapText="1"/>
    </xf>
    <xf numFmtId="0" fontId="8" fillId="0" borderId="31" xfId="11" applyFont="1" applyFill="1" applyBorder="1" applyAlignment="1" applyProtection="1">
      <alignment horizontal="right" vertical="center" wrapText="1"/>
    </xf>
    <xf numFmtId="170" fontId="7" fillId="0" borderId="42" xfId="0" applyNumberFormat="1" applyFont="1" applyBorder="1" applyAlignment="1">
      <alignment horizontal="right" vertical="center"/>
    </xf>
    <xf numFmtId="167" fontId="14" fillId="0" borderId="78" xfId="6" applyNumberFormat="1" applyFont="1" applyBorder="1" applyAlignment="1">
      <alignment vertical="center" wrapText="1"/>
    </xf>
    <xf numFmtId="0" fontId="14" fillId="0" borderId="70" xfId="6" applyNumberFormat="1" applyFont="1" applyBorder="1" applyAlignment="1">
      <alignment vertical="center" wrapText="1"/>
    </xf>
    <xf numFmtId="43" fontId="14" fillId="0" borderId="70" xfId="2" applyFont="1" applyBorder="1" applyAlignment="1">
      <alignment horizontal="right" vertical="center" wrapText="1"/>
    </xf>
    <xf numFmtId="0" fontId="14" fillId="0" borderId="70" xfId="6" applyNumberFormat="1" applyFont="1" applyBorder="1" applyAlignment="1">
      <alignment horizontal="center" vertical="center" wrapText="1"/>
    </xf>
    <xf numFmtId="167" fontId="14" fillId="0" borderId="43" xfId="6" applyNumberFormat="1" applyFont="1" applyBorder="1" applyAlignment="1">
      <alignment vertical="center" wrapText="1"/>
    </xf>
    <xf numFmtId="0" fontId="14" fillId="0" borderId="44" xfId="6" applyNumberFormat="1" applyFont="1" applyBorder="1" applyAlignment="1">
      <alignment vertical="center" wrapText="1"/>
    </xf>
    <xf numFmtId="43" fontId="14" fillId="0" borderId="44" xfId="2" applyFont="1" applyBorder="1" applyAlignment="1">
      <alignment horizontal="right" vertical="center" wrapText="1"/>
    </xf>
    <xf numFmtId="0" fontId="14" fillId="0" borderId="44" xfId="6" applyNumberFormat="1" applyFont="1" applyBorder="1" applyAlignment="1">
      <alignment horizontal="center" vertical="center" wrapText="1"/>
    </xf>
    <xf numFmtId="4" fontId="14" fillId="0" borderId="31" xfId="6" applyNumberFormat="1" applyFont="1" applyBorder="1" applyAlignment="1">
      <alignment horizontal="center" vertical="center" wrapText="1"/>
    </xf>
    <xf numFmtId="166" fontId="37" fillId="0" borderId="31" xfId="0" applyFont="1" applyBorder="1" applyAlignment="1">
      <alignment horizontal="center" vertical="center" wrapText="1"/>
    </xf>
    <xf numFmtId="0" fontId="37" fillId="0" borderId="31" xfId="11" applyFont="1" applyFill="1" applyBorder="1" applyAlignment="1" applyProtection="1">
      <alignment vertical="center" wrapText="1"/>
    </xf>
    <xf numFmtId="170" fontId="39" fillId="0" borderId="42" xfId="0" applyNumberFormat="1" applyFont="1" applyBorder="1" applyAlignment="1">
      <alignment horizontal="right" vertical="center"/>
    </xf>
    <xf numFmtId="166" fontId="37" fillId="0" borderId="31" xfId="0" applyFont="1" applyBorder="1" applyAlignment="1">
      <alignment vertical="center" wrapText="1"/>
    </xf>
    <xf numFmtId="43" fontId="37" fillId="0" borderId="31" xfId="2" applyFont="1" applyFill="1" applyBorder="1" applyAlignment="1" applyProtection="1">
      <alignment horizontal="right" vertical="center" wrapText="1"/>
    </xf>
    <xf numFmtId="43" fontId="37" fillId="15" borderId="31" xfId="2" applyFont="1" applyFill="1" applyBorder="1" applyAlignment="1" applyProtection="1">
      <alignment horizontal="center" vertical="center" wrapText="1"/>
    </xf>
    <xf numFmtId="49" fontId="37" fillId="0" borderId="41" xfId="0" applyNumberFormat="1" applyFont="1" applyBorder="1" applyAlignment="1">
      <alignment horizontal="right" vertical="center" wrapText="1"/>
    </xf>
    <xf numFmtId="43" fontId="37" fillId="0" borderId="31" xfId="2" applyFont="1" applyBorder="1" applyAlignment="1">
      <alignment vertical="center" wrapText="1"/>
    </xf>
    <xf numFmtId="167" fontId="47" fillId="0" borderId="43" xfId="6" applyNumberFormat="1" applyFont="1" applyBorder="1" applyAlignment="1">
      <alignment vertical="center" wrapText="1"/>
    </xf>
    <xf numFmtId="0" fontId="47" fillId="0" borderId="44" xfId="6" applyNumberFormat="1" applyFont="1" applyBorder="1" applyAlignment="1">
      <alignment vertical="center" wrapText="1"/>
    </xf>
    <xf numFmtId="43" fontId="37" fillId="0" borderId="44" xfId="2" applyFont="1" applyBorder="1" applyAlignment="1">
      <alignment vertical="center" wrapText="1"/>
    </xf>
    <xf numFmtId="4" fontId="37" fillId="0" borderId="0" xfId="0" applyNumberFormat="1" applyFont="1" applyAlignment="1">
      <alignment vertical="center" wrapText="1"/>
    </xf>
    <xf numFmtId="0" fontId="47" fillId="0" borderId="43" xfId="6" applyNumberFormat="1" applyFont="1" applyBorder="1" applyAlignment="1">
      <alignment vertical="center" wrapText="1"/>
    </xf>
    <xf numFmtId="4" fontId="36" fillId="0" borderId="44" xfId="6" applyNumberFormat="1" applyFont="1" applyBorder="1" applyAlignment="1">
      <alignment horizontal="center" vertical="center" wrapText="1"/>
    </xf>
    <xf numFmtId="13" fontId="14" fillId="0" borderId="31" xfId="2" applyNumberFormat="1" applyFont="1" applyBorder="1" applyAlignment="1">
      <alignment horizontal="right" vertical="center" wrapText="1"/>
    </xf>
    <xf numFmtId="4" fontId="2" fillId="0" borderId="70" xfId="6" applyNumberFormat="1" applyBorder="1" applyAlignment="1">
      <alignment horizontal="right" vertical="center" wrapText="1"/>
    </xf>
    <xf numFmtId="4" fontId="2" fillId="0" borderId="44" xfId="6" applyNumberFormat="1" applyBorder="1" applyAlignment="1">
      <alignment horizontal="right" vertical="center" wrapText="1"/>
    </xf>
    <xf numFmtId="4" fontId="2" fillId="0" borderId="79" xfId="0" applyNumberFormat="1" applyFont="1" applyBorder="1" applyAlignment="1">
      <alignment vertical="center" wrapText="1"/>
    </xf>
    <xf numFmtId="4" fontId="2" fillId="0" borderId="68" xfId="0" applyNumberFormat="1" applyFont="1" applyBorder="1" applyAlignment="1">
      <alignment vertical="center" wrapText="1"/>
    </xf>
    <xf numFmtId="170" fontId="7" fillId="0" borderId="45" xfId="0" applyNumberFormat="1" applyFont="1" applyBorder="1" applyAlignment="1">
      <alignment horizontal="right" vertical="center"/>
    </xf>
    <xf numFmtId="167" fontId="15" fillId="0" borderId="41" xfId="6" applyNumberFormat="1" applyFont="1" applyBorder="1" applyAlignment="1">
      <alignment vertical="center" wrapText="1"/>
    </xf>
    <xf numFmtId="0" fontId="14" fillId="0" borderId="41" xfId="6" applyNumberFormat="1" applyFont="1" applyBorder="1" applyAlignment="1">
      <alignment horizontal="right" vertical="center" wrapText="1"/>
    </xf>
    <xf numFmtId="167" fontId="14" fillId="0" borderId="41" xfId="6" applyNumberFormat="1" applyFont="1" applyBorder="1" applyAlignment="1">
      <alignment horizontal="right" vertical="center" wrapText="1"/>
    </xf>
    <xf numFmtId="12" fontId="14" fillId="0" borderId="31" xfId="2" applyNumberFormat="1" applyFont="1" applyBorder="1" applyAlignment="1">
      <alignment horizontal="right" vertical="center" wrapText="1"/>
    </xf>
    <xf numFmtId="167" fontId="15" fillId="0" borderId="41" xfId="6" applyNumberFormat="1" applyFont="1" applyBorder="1" applyAlignment="1">
      <alignment horizontal="right" vertical="center" wrapText="1"/>
    </xf>
    <xf numFmtId="1" fontId="3" fillId="0" borderId="67" xfId="0" applyNumberFormat="1" applyFont="1" applyBorder="1" applyAlignment="1">
      <alignment horizontal="right" vertical="center" wrapText="1"/>
    </xf>
    <xf numFmtId="49" fontId="3" fillId="0" borderId="68" xfId="0" applyNumberFormat="1" applyFont="1" applyBorder="1" applyAlignment="1">
      <alignment vertical="center" wrapText="1"/>
    </xf>
    <xf numFmtId="43" fontId="2" fillId="0" borderId="68" xfId="2" applyFont="1" applyBorder="1" applyAlignment="1">
      <alignment vertical="center" wrapText="1"/>
    </xf>
    <xf numFmtId="49" fontId="2" fillId="0" borderId="68" xfId="0" applyNumberFormat="1" applyFont="1" applyBorder="1" applyAlignment="1">
      <alignment horizontal="center" vertical="center" wrapText="1"/>
    </xf>
    <xf numFmtId="166" fontId="49" fillId="0" borderId="0" xfId="0" applyFont="1" applyAlignment="1">
      <alignment vertical="center"/>
    </xf>
    <xf numFmtId="4" fontId="3" fillId="0" borderId="69" xfId="0" applyNumberFormat="1" applyFont="1" applyBorder="1" applyAlignment="1">
      <alignment vertical="center" wrapText="1"/>
    </xf>
    <xf numFmtId="167" fontId="2" fillId="0" borderId="65" xfId="0" applyNumberFormat="1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6" fontId="3" fillId="0" borderId="66" xfId="0" applyFont="1" applyBorder="1" applyAlignment="1">
      <alignment vertical="center" wrapText="1"/>
    </xf>
    <xf numFmtId="49" fontId="2" fillId="0" borderId="68" xfId="0" applyNumberFormat="1" applyFont="1" applyBorder="1" applyAlignment="1">
      <alignment vertical="center" wrapText="1"/>
    </xf>
    <xf numFmtId="166" fontId="2" fillId="0" borderId="68" xfId="0" applyFont="1" applyBorder="1" applyAlignment="1">
      <alignment horizontal="center" vertical="center" wrapText="1"/>
    </xf>
    <xf numFmtId="166" fontId="3" fillId="0" borderId="69" xfId="0" applyFont="1" applyBorder="1" applyAlignment="1">
      <alignment vertical="center" wrapText="1"/>
    </xf>
    <xf numFmtId="167" fontId="15" fillId="0" borderId="43" xfId="6" applyNumberFormat="1" applyFont="1" applyBorder="1" applyAlignment="1">
      <alignment vertical="center" wrapText="1"/>
    </xf>
    <xf numFmtId="0" fontId="15" fillId="0" borderId="44" xfId="6" applyNumberFormat="1" applyFont="1" applyBorder="1" applyAlignment="1">
      <alignment vertical="center" wrapText="1"/>
    </xf>
    <xf numFmtId="43" fontId="2" fillId="0" borderId="44" xfId="2" applyFont="1" applyBorder="1" applyAlignment="1">
      <alignment vertical="center" wrapText="1"/>
    </xf>
    <xf numFmtId="43" fontId="3" fillId="0" borderId="45" xfId="2" applyFont="1" applyBorder="1" applyAlignment="1">
      <alignment vertical="center" wrapText="1"/>
    </xf>
    <xf numFmtId="43" fontId="3" fillId="0" borderId="71" xfId="2" applyFont="1" applyBorder="1" applyAlignment="1">
      <alignment vertical="center" wrapText="1"/>
    </xf>
    <xf numFmtId="4" fontId="3" fillId="0" borderId="66" xfId="0" applyNumberFormat="1" applyFont="1" applyBorder="1" applyAlignment="1">
      <alignment vertical="center" wrapText="1"/>
    </xf>
    <xf numFmtId="0" fontId="14" fillId="0" borderId="41" xfId="6" applyNumberFormat="1" applyFont="1" applyBorder="1" applyAlignment="1">
      <alignment vertical="center" wrapText="1"/>
    </xf>
    <xf numFmtId="4" fontId="48" fillId="0" borderId="31" xfId="6" applyNumberFormat="1" applyFont="1" applyBorder="1" applyAlignment="1">
      <alignment horizontal="right" vertical="center" wrapText="1"/>
    </xf>
    <xf numFmtId="0" fontId="14" fillId="0" borderId="43" xfId="6" applyNumberFormat="1" applyFont="1" applyBorder="1" applyAlignment="1">
      <alignment horizontal="right" vertical="center" wrapText="1"/>
    </xf>
    <xf numFmtId="0" fontId="14" fillId="0" borderId="78" xfId="6" applyNumberFormat="1" applyFont="1" applyBorder="1" applyAlignment="1">
      <alignment horizontal="right" vertical="center" wrapText="1"/>
    </xf>
    <xf numFmtId="166" fontId="4" fillId="17" borderId="0" xfId="0" applyFont="1" applyFill="1" applyAlignment="1">
      <alignment vertical="center"/>
    </xf>
    <xf numFmtId="0" fontId="14" fillId="0" borderId="83" xfId="6" applyNumberFormat="1" applyFont="1" applyBorder="1" applyAlignment="1">
      <alignment horizontal="right" vertical="center" wrapText="1"/>
    </xf>
    <xf numFmtId="0" fontId="14" fillId="0" borderId="84" xfId="6" applyNumberFormat="1" applyFont="1" applyBorder="1" applyAlignment="1">
      <alignment vertical="center" wrapText="1"/>
    </xf>
    <xf numFmtId="43" fontId="14" fillId="0" borderId="84" xfId="2" applyFont="1" applyBorder="1" applyAlignment="1">
      <alignment horizontal="right" vertical="center" wrapText="1"/>
    </xf>
    <xf numFmtId="0" fontId="14" fillId="0" borderId="84" xfId="6" applyNumberFormat="1" applyFont="1" applyBorder="1" applyAlignment="1">
      <alignment horizontal="center" vertical="center" wrapText="1"/>
    </xf>
    <xf numFmtId="4" fontId="2" fillId="0" borderId="84" xfId="6" applyNumberFormat="1" applyBorder="1" applyAlignment="1">
      <alignment horizontal="right" vertical="center" wrapText="1"/>
    </xf>
    <xf numFmtId="4" fontId="2" fillId="0" borderId="85" xfId="0" applyNumberFormat="1" applyFont="1" applyBorder="1" applyAlignment="1">
      <alignment vertical="center" wrapText="1"/>
    </xf>
    <xf numFmtId="43" fontId="3" fillId="0" borderId="86" xfId="2" applyFont="1" applyBorder="1" applyAlignment="1">
      <alignment vertical="center" wrapText="1"/>
    </xf>
    <xf numFmtId="0" fontId="15" fillId="0" borderId="43" xfId="6" applyNumberFormat="1" applyFont="1" applyBorder="1" applyAlignment="1">
      <alignment vertical="center" wrapText="1"/>
    </xf>
    <xf numFmtId="167" fontId="14" fillId="0" borderId="87" xfId="6" applyNumberFormat="1" applyFont="1" applyBorder="1" applyAlignment="1">
      <alignment vertical="center" wrapText="1"/>
    </xf>
    <xf numFmtId="0" fontId="14" fillId="0" borderId="88" xfId="6" applyNumberFormat="1" applyFont="1" applyBorder="1" applyAlignment="1">
      <alignment vertical="center" wrapText="1"/>
    </xf>
    <xf numFmtId="43" fontId="14" fillId="0" borderId="88" xfId="2" applyFont="1" applyBorder="1" applyAlignment="1">
      <alignment horizontal="right" vertical="center" wrapText="1"/>
    </xf>
    <xf numFmtId="0" fontId="14" fillId="0" borderId="88" xfId="6" applyNumberFormat="1" applyFont="1" applyBorder="1" applyAlignment="1">
      <alignment horizontal="center" vertical="center" wrapText="1"/>
    </xf>
    <xf numFmtId="4" fontId="2" fillId="0" borderId="88" xfId="6" applyNumberFormat="1" applyBorder="1" applyAlignment="1">
      <alignment horizontal="right" vertical="center" wrapText="1"/>
    </xf>
    <xf numFmtId="4" fontId="2" fillId="0" borderId="89" xfId="0" applyNumberFormat="1" applyFont="1" applyBorder="1" applyAlignment="1">
      <alignment vertical="center" wrapText="1"/>
    </xf>
    <xf numFmtId="43" fontId="3" fillId="0" borderId="90" xfId="2" applyFont="1" applyBorder="1" applyAlignment="1">
      <alignment vertical="center" wrapText="1"/>
    </xf>
    <xf numFmtId="167" fontId="2" fillId="0" borderId="91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vertical="center" wrapText="1"/>
    </xf>
    <xf numFmtId="43" fontId="14" fillId="0" borderId="92" xfId="2" applyFont="1" applyBorder="1" applyAlignment="1">
      <alignment horizontal="right" vertical="center" wrapText="1"/>
    </xf>
    <xf numFmtId="166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93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167" fontId="36" fillId="0" borderId="87" xfId="6" applyNumberFormat="1" applyFont="1" applyBorder="1" applyAlignment="1">
      <alignment vertical="center" wrapText="1"/>
    </xf>
    <xf numFmtId="0" fontId="36" fillId="0" borderId="88" xfId="6" applyNumberFormat="1" applyFont="1" applyBorder="1" applyAlignment="1">
      <alignment vertical="center" wrapText="1"/>
    </xf>
    <xf numFmtId="43" fontId="36" fillId="0" borderId="88" xfId="2" applyFont="1" applyBorder="1" applyAlignment="1">
      <alignment horizontal="right" vertical="center" wrapText="1"/>
    </xf>
    <xf numFmtId="0" fontId="36" fillId="0" borderId="88" xfId="6" applyNumberFormat="1" applyFont="1" applyBorder="1" applyAlignment="1">
      <alignment horizontal="center" vertical="center" wrapText="1"/>
    </xf>
    <xf numFmtId="4" fontId="37" fillId="0" borderId="88" xfId="6" applyNumberFormat="1" applyFont="1" applyBorder="1" applyAlignment="1">
      <alignment horizontal="right" vertical="center" wrapText="1"/>
    </xf>
    <xf numFmtId="43" fontId="39" fillId="0" borderId="90" xfId="2" applyFont="1" applyBorder="1" applyAlignment="1">
      <alignment vertical="center" wrapText="1"/>
    </xf>
    <xf numFmtId="166" fontId="3" fillId="0" borderId="21" xfId="0" applyFont="1" applyBorder="1" applyAlignment="1">
      <alignment horizontal="center"/>
    </xf>
    <xf numFmtId="166" fontId="3" fillId="0" borderId="22" xfId="0" applyFont="1" applyBorder="1" applyAlignment="1">
      <alignment horizontal="center"/>
    </xf>
    <xf numFmtId="166" fontId="3" fillId="0" borderId="23" xfId="0" applyFont="1" applyBorder="1" applyAlignment="1">
      <alignment horizontal="center"/>
    </xf>
    <xf numFmtId="166" fontId="11" fillId="0" borderId="0" xfId="0" applyFont="1" applyAlignment="1">
      <alignment horizontal="center"/>
    </xf>
    <xf numFmtId="43" fontId="2" fillId="0" borderId="39" xfId="2" applyFont="1" applyBorder="1" applyAlignment="1">
      <alignment horizontal="center"/>
    </xf>
    <xf numFmtId="166" fontId="3" fillId="5" borderId="20" xfId="0" applyFont="1" applyFill="1" applyBorder="1" applyAlignment="1">
      <alignment horizontal="center" vertical="center"/>
    </xf>
    <xf numFmtId="166" fontId="3" fillId="5" borderId="3" xfId="0" applyFont="1" applyFill="1" applyBorder="1" applyAlignment="1">
      <alignment horizontal="center" vertical="center"/>
    </xf>
    <xf numFmtId="166" fontId="3" fillId="5" borderId="5" xfId="0" applyFont="1" applyFill="1" applyBorder="1" applyAlignment="1">
      <alignment horizontal="center" vertical="center"/>
    </xf>
    <xf numFmtId="166" fontId="7" fillId="0" borderId="32" xfId="0" applyFont="1" applyBorder="1" applyAlignment="1">
      <alignment horizontal="center"/>
    </xf>
    <xf numFmtId="166" fontId="7" fillId="0" borderId="33" xfId="0" applyFont="1" applyBorder="1" applyAlignment="1">
      <alignment horizontal="center"/>
    </xf>
    <xf numFmtId="166" fontId="7" fillId="0" borderId="34" xfId="0" applyFont="1" applyBorder="1" applyAlignment="1">
      <alignment horizontal="center"/>
    </xf>
    <xf numFmtId="166" fontId="7" fillId="0" borderId="0" xfId="0" applyFont="1" applyAlignment="1">
      <alignment horizontal="center"/>
    </xf>
    <xf numFmtId="166" fontId="7" fillId="0" borderId="35" xfId="0" applyFont="1" applyBorder="1" applyAlignment="1">
      <alignment horizontal="center"/>
    </xf>
    <xf numFmtId="43" fontId="7" fillId="0" borderId="32" xfId="9" applyFont="1" applyBorder="1" applyAlignment="1">
      <alignment horizontal="center"/>
    </xf>
    <xf numFmtId="43" fontId="7" fillId="0" borderId="33" xfId="9" applyFont="1" applyBorder="1" applyAlignment="1">
      <alignment horizontal="center"/>
    </xf>
    <xf numFmtId="43" fontId="7" fillId="0" borderId="34" xfId="9" applyFont="1" applyBorder="1" applyAlignment="1">
      <alignment horizontal="center"/>
    </xf>
    <xf numFmtId="166" fontId="7" fillId="0" borderId="20" xfId="0" applyFont="1" applyBorder="1" applyAlignment="1">
      <alignment horizontal="center"/>
    </xf>
    <xf numFmtId="166" fontId="7" fillId="0" borderId="3" xfId="0" applyFont="1" applyBorder="1" applyAlignment="1">
      <alignment horizontal="center"/>
    </xf>
    <xf numFmtId="166" fontId="7" fillId="0" borderId="5" xfId="0" applyFont="1" applyBorder="1" applyAlignment="1">
      <alignment horizontal="center"/>
    </xf>
    <xf numFmtId="166" fontId="5" fillId="0" borderId="0" xfId="0" applyFont="1" applyAlignment="1">
      <alignment horizontal="center" vertical="center"/>
    </xf>
    <xf numFmtId="166" fontId="3" fillId="0" borderId="0" xfId="0" quotePrefix="1" applyFont="1" applyAlignment="1">
      <alignment horizontal="center" vertical="center"/>
    </xf>
    <xf numFmtId="165" fontId="10" fillId="0" borderId="0" xfId="6" applyNumberFormat="1" applyFont="1" applyAlignment="1">
      <alignment horizontal="center" vertical="center"/>
    </xf>
    <xf numFmtId="166" fontId="10" fillId="0" borderId="0" xfId="6" applyFont="1" applyAlignment="1">
      <alignment horizontal="center" vertical="center"/>
    </xf>
    <xf numFmtId="0" fontId="12" fillId="0" borderId="0" xfId="6" applyNumberFormat="1" applyFont="1" applyAlignment="1">
      <alignment horizontal="center" vertical="center" wrapText="1"/>
    </xf>
    <xf numFmtId="166" fontId="7" fillId="9" borderId="32" xfId="0" applyFont="1" applyFill="1" applyBorder="1" applyAlignment="1">
      <alignment horizontal="center"/>
    </xf>
    <xf numFmtId="166" fontId="7" fillId="9" borderId="33" xfId="0" applyFont="1" applyFill="1" applyBorder="1" applyAlignment="1">
      <alignment horizontal="center"/>
    </xf>
    <xf numFmtId="166" fontId="7" fillId="9" borderId="34" xfId="0" applyFont="1" applyFill="1" applyBorder="1" applyAlignment="1">
      <alignment horizontal="center"/>
    </xf>
    <xf numFmtId="166" fontId="7" fillId="9" borderId="0" xfId="0" applyFont="1" applyFill="1" applyAlignment="1">
      <alignment horizontal="center"/>
    </xf>
    <xf numFmtId="166" fontId="7" fillId="9" borderId="35" xfId="0" applyFont="1" applyFill="1" applyBorder="1" applyAlignment="1">
      <alignment horizontal="center"/>
    </xf>
    <xf numFmtId="166" fontId="7" fillId="9" borderId="36" xfId="0" quotePrefix="1" applyFont="1" applyFill="1" applyBorder="1" applyAlignment="1">
      <alignment horizontal="center"/>
    </xf>
    <xf numFmtId="166" fontId="7" fillId="9" borderId="37" xfId="0" quotePrefix="1" applyFont="1" applyFill="1" applyBorder="1" applyAlignment="1">
      <alignment horizontal="center"/>
    </xf>
    <xf numFmtId="166" fontId="7" fillId="9" borderId="38" xfId="0" quotePrefix="1" applyFont="1" applyFill="1" applyBorder="1" applyAlignment="1">
      <alignment horizontal="center"/>
    </xf>
    <xf numFmtId="166" fontId="7" fillId="7" borderId="20" xfId="0" applyFont="1" applyFill="1" applyBorder="1" applyAlignment="1">
      <alignment horizontal="center" vertical="center"/>
    </xf>
    <xf numFmtId="166" fontId="7" fillId="7" borderId="3" xfId="0" applyFont="1" applyFill="1" applyBorder="1" applyAlignment="1">
      <alignment horizontal="center" vertical="center"/>
    </xf>
    <xf numFmtId="166" fontId="7" fillId="7" borderId="5" xfId="0" applyFont="1" applyFill="1" applyBorder="1" applyAlignment="1">
      <alignment horizontal="center" vertical="center"/>
    </xf>
    <xf numFmtId="166" fontId="7" fillId="0" borderId="0" xfId="0" applyFont="1" applyAlignment="1">
      <alignment horizontal="center" vertical="center" wrapText="1"/>
    </xf>
    <xf numFmtId="166" fontId="7" fillId="0" borderId="0" xfId="0" quotePrefix="1" applyFont="1" applyAlignment="1">
      <alignment horizontal="center" vertical="center" wrapText="1"/>
    </xf>
    <xf numFmtId="166" fontId="7" fillId="0" borderId="94" xfId="0" applyFont="1" applyBorder="1" applyAlignment="1">
      <alignment horizontal="center"/>
    </xf>
    <xf numFmtId="166" fontId="8" fillId="0" borderId="82" xfId="0" applyFont="1" applyBorder="1" applyAlignment="1">
      <alignment horizontal="fill"/>
    </xf>
    <xf numFmtId="166" fontId="8" fillId="0" borderId="82" xfId="0" applyFont="1" applyBorder="1" applyAlignment="1">
      <alignment horizontal="center"/>
    </xf>
    <xf numFmtId="43" fontId="8" fillId="0" borderId="82" xfId="9" applyFont="1" applyBorder="1" applyAlignment="1" applyProtection="1">
      <alignment horizontal="center"/>
    </xf>
    <xf numFmtId="168" fontId="7" fillId="0" borderId="82" xfId="0" applyNumberFormat="1" applyFont="1" applyBorder="1" applyAlignment="1">
      <alignment horizontal="center"/>
    </xf>
    <xf numFmtId="43" fontId="8" fillId="0" borderId="82" xfId="9" applyFont="1" applyBorder="1" applyAlignment="1">
      <alignment horizontal="center"/>
    </xf>
    <xf numFmtId="171" fontId="8" fillId="0" borderId="82" xfId="9" applyNumberFormat="1" applyFont="1" applyBorder="1" applyAlignment="1">
      <alignment horizontal="center"/>
    </xf>
    <xf numFmtId="39" fontId="8" fillId="0" borderId="82" xfId="0" applyNumberFormat="1" applyFont="1" applyBorder="1" applyAlignment="1">
      <alignment horizontal="center"/>
    </xf>
    <xf numFmtId="168" fontId="7" fillId="0" borderId="82" xfId="0" quotePrefix="1" applyNumberFormat="1" applyFont="1" applyBorder="1" applyAlignment="1">
      <alignment horizontal="center"/>
    </xf>
    <xf numFmtId="166" fontId="8" fillId="0" borderId="82" xfId="0" quotePrefix="1" applyFont="1" applyBorder="1" applyAlignment="1">
      <alignment horizontal="center"/>
    </xf>
    <xf numFmtId="166" fontId="1" fillId="0" borderId="0" xfId="0" applyFont="1" applyAlignment="1">
      <alignment horizontal="center" vertical="center"/>
    </xf>
    <xf numFmtId="166" fontId="1" fillId="4" borderId="0" xfId="0" applyFont="1" applyFill="1" applyAlignment="1">
      <alignment horizontal="center" vertical="center"/>
    </xf>
    <xf numFmtId="166" fontId="1" fillId="0" borderId="0" xfId="0" applyFont="1" applyAlignment="1">
      <alignment horizontal="center" vertical="center"/>
    </xf>
    <xf numFmtId="43" fontId="1" fillId="0" borderId="0" xfId="2" applyFont="1" applyAlignment="1">
      <alignment vertical="center"/>
    </xf>
    <xf numFmtId="43" fontId="1" fillId="0" borderId="0" xfId="2" applyFont="1" applyFill="1" applyAlignment="1">
      <alignment vertical="center"/>
    </xf>
    <xf numFmtId="167" fontId="1" fillId="4" borderId="0" xfId="0" applyNumberFormat="1" applyFont="1" applyFill="1" applyAlignment="1">
      <alignment horizontal="right" vertical="center"/>
    </xf>
    <xf numFmtId="166" fontId="1" fillId="0" borderId="0" xfId="0" applyFont="1" applyAlignment="1">
      <alignment horizontal="right" vertical="center"/>
    </xf>
    <xf numFmtId="166" fontId="5" fillId="2" borderId="76" xfId="0" quotePrefix="1" applyFont="1" applyFill="1" applyBorder="1" applyAlignment="1">
      <alignment horizontal="center"/>
    </xf>
    <xf numFmtId="43" fontId="5" fillId="0" borderId="76" xfId="2" quotePrefix="1" applyFont="1" applyBorder="1" applyAlignment="1" applyProtection="1">
      <alignment horizontal="center"/>
    </xf>
    <xf numFmtId="43" fontId="5" fillId="0" borderId="76" xfId="2" applyFont="1" applyBorder="1" applyAlignment="1" applyProtection="1">
      <alignment horizontal="center"/>
    </xf>
    <xf numFmtId="43" fontId="5" fillId="0" borderId="77" xfId="2" applyFont="1" applyBorder="1" applyAlignment="1" applyProtection="1">
      <alignment horizontal="center"/>
    </xf>
    <xf numFmtId="166" fontId="2" fillId="4" borderId="82" xfId="0" applyFont="1" applyFill="1" applyBorder="1" applyAlignment="1">
      <alignment horizontal="fill"/>
    </xf>
    <xf numFmtId="43" fontId="2" fillId="0" borderId="82" xfId="2" applyFont="1" applyBorder="1" applyAlignment="1" applyProtection="1">
      <alignment horizontal="center"/>
    </xf>
    <xf numFmtId="43" fontId="2" fillId="0" borderId="82" xfId="2" applyFont="1" applyFill="1" applyBorder="1" applyAlignment="1" applyProtection="1">
      <alignment horizontal="center"/>
    </xf>
    <xf numFmtId="168" fontId="3" fillId="17" borderId="82" xfId="0" applyNumberFormat="1" applyFont="1" applyFill="1" applyBorder="1" applyAlignment="1">
      <alignment horizontal="center"/>
    </xf>
    <xf numFmtId="166" fontId="2" fillId="17" borderId="82" xfId="0" applyFont="1" applyFill="1" applyBorder="1" applyAlignment="1">
      <alignment horizontal="center"/>
    </xf>
    <xf numFmtId="43" fontId="2" fillId="17" borderId="82" xfId="2" applyFont="1" applyFill="1" applyBorder="1" applyAlignment="1">
      <alignment horizontal="center"/>
    </xf>
    <xf numFmtId="39" fontId="2" fillId="17" borderId="82" xfId="0" applyNumberFormat="1" applyFont="1" applyFill="1" applyBorder="1" applyAlignment="1">
      <alignment horizontal="center"/>
    </xf>
    <xf numFmtId="39" fontId="37" fillId="17" borderId="82" xfId="0" applyNumberFormat="1" applyFont="1" applyFill="1" applyBorder="1" applyAlignment="1">
      <alignment horizontal="center"/>
    </xf>
    <xf numFmtId="166" fontId="3" fillId="5" borderId="82" xfId="0" applyFont="1" applyFill="1" applyBorder="1" applyAlignment="1">
      <alignment horizontal="center" vertical="center"/>
    </xf>
    <xf numFmtId="43" fontId="5" fillId="5" borderId="77" xfId="2" applyFont="1" applyFill="1" applyBorder="1" applyAlignment="1" applyProtection="1">
      <alignment horizontal="center"/>
    </xf>
    <xf numFmtId="166" fontId="3" fillId="0" borderId="95" xfId="0" applyFont="1" applyBorder="1" applyAlignment="1">
      <alignment horizontal="center" vertical="center"/>
    </xf>
    <xf numFmtId="166" fontId="3" fillId="0" borderId="82" xfId="0" applyFont="1" applyBorder="1" applyAlignment="1">
      <alignment horizontal="center" vertical="center"/>
    </xf>
    <xf numFmtId="166" fontId="3" fillId="0" borderId="96" xfId="0" applyFont="1" applyBorder="1" applyAlignment="1">
      <alignment horizontal="right" vertical="center"/>
    </xf>
    <xf numFmtId="166" fontId="2" fillId="0" borderId="95" xfId="0" applyFont="1" applyBorder="1" applyAlignment="1">
      <alignment horizontal="right" vertical="center"/>
    </xf>
    <xf numFmtId="166" fontId="1" fillId="0" borderId="8" xfId="0" applyFont="1" applyBorder="1" applyAlignment="1">
      <alignment horizontal="right" vertical="center"/>
    </xf>
    <xf numFmtId="166" fontId="1" fillId="0" borderId="10" xfId="0" applyFont="1" applyBorder="1" applyAlignment="1">
      <alignment horizontal="right" vertical="center"/>
    </xf>
    <xf numFmtId="166" fontId="1" fillId="0" borderId="11" xfId="0" applyFont="1" applyBorder="1" applyAlignment="1">
      <alignment horizontal="center" vertical="center"/>
    </xf>
    <xf numFmtId="166" fontId="1" fillId="0" borderId="12" xfId="0" applyFont="1" applyBorder="1" applyAlignment="1">
      <alignment horizontal="right" vertical="center"/>
    </xf>
    <xf numFmtId="166" fontId="9" fillId="0" borderId="97" xfId="0" applyFont="1" applyBorder="1" applyAlignment="1">
      <alignment vertical="center" wrapText="1"/>
    </xf>
    <xf numFmtId="167" fontId="8" fillId="0" borderId="97" xfId="0" applyNumberFormat="1" applyFont="1" applyBorder="1" applyAlignment="1">
      <alignment horizontal="right" vertical="center" wrapText="1"/>
    </xf>
    <xf numFmtId="167" fontId="38" fillId="0" borderId="97" xfId="0" applyNumberFormat="1" applyFont="1" applyBorder="1" applyAlignment="1">
      <alignment vertical="center" wrapText="1"/>
    </xf>
    <xf numFmtId="166" fontId="7" fillId="9" borderId="94" xfId="0" applyFont="1" applyFill="1" applyBorder="1" applyAlignment="1">
      <alignment horizontal="center"/>
    </xf>
    <xf numFmtId="1" fontId="8" fillId="0" borderId="72" xfId="0" applyNumberFormat="1" applyFont="1" applyBorder="1" applyAlignment="1">
      <alignment horizontal="right"/>
    </xf>
    <xf numFmtId="1" fontId="7" fillId="0" borderId="72" xfId="0" applyNumberFormat="1" applyFont="1" applyBorder="1" applyAlignment="1">
      <alignment horizontal="right"/>
    </xf>
    <xf numFmtId="166" fontId="7" fillId="0" borderId="72" xfId="0" applyFont="1" applyBorder="1"/>
    <xf numFmtId="166" fontId="7" fillId="0" borderId="72" xfId="0" applyFont="1" applyBorder="1" applyAlignment="1">
      <alignment vertical="center"/>
    </xf>
    <xf numFmtId="167" fontId="8" fillId="0" borderId="72" xfId="0" applyNumberFormat="1" applyFont="1" applyBorder="1" applyAlignment="1">
      <alignment horizontal="right" vertical="center"/>
    </xf>
    <xf numFmtId="1" fontId="8" fillId="0" borderId="72" xfId="0" quotePrefix="1" applyNumberFormat="1" applyFont="1" applyBorder="1" applyAlignment="1">
      <alignment horizontal="right" vertical="center" wrapText="1"/>
    </xf>
    <xf numFmtId="1" fontId="7" fillId="0" borderId="72" xfId="0" applyNumberFormat="1" applyFont="1" applyBorder="1" applyAlignment="1">
      <alignment horizontal="right" vertical="center" wrapText="1"/>
    </xf>
    <xf numFmtId="173" fontId="8" fillId="0" borderId="72" xfId="0" applyNumberFormat="1" applyFont="1" applyBorder="1" applyAlignment="1">
      <alignment horizontal="right" vertical="center" wrapText="1"/>
    </xf>
    <xf numFmtId="1" fontId="8" fillId="11" borderId="75" xfId="0" applyNumberFormat="1" applyFont="1" applyFill="1" applyBorder="1" applyAlignment="1">
      <alignment horizontal="right" vertical="center" wrapText="1"/>
    </xf>
    <xf numFmtId="166" fontId="7" fillId="11" borderId="76" xfId="0" applyFont="1" applyFill="1" applyBorder="1" applyAlignment="1">
      <alignment horizontal="center" vertical="center" wrapText="1"/>
    </xf>
    <xf numFmtId="39" fontId="8" fillId="11" borderId="76" xfId="0" applyNumberFormat="1" applyFont="1" applyFill="1" applyBorder="1" applyAlignment="1">
      <alignment horizontal="right" vertical="center" wrapText="1"/>
    </xf>
    <xf numFmtId="39" fontId="8" fillId="11" borderId="76" xfId="0" applyNumberFormat="1" applyFont="1" applyFill="1" applyBorder="1" applyAlignment="1">
      <alignment horizontal="center" vertical="center" wrapText="1"/>
    </xf>
    <xf numFmtId="39" fontId="8" fillId="11" borderId="76" xfId="0" applyNumberFormat="1" applyFont="1" applyFill="1" applyBorder="1" applyAlignment="1">
      <alignment vertical="center" wrapText="1"/>
    </xf>
    <xf numFmtId="39" fontId="7" fillId="11" borderId="77" xfId="0" applyNumberFormat="1" applyFont="1" applyFill="1" applyBorder="1" applyAlignment="1">
      <alignment vertical="center" wrapText="1"/>
    </xf>
    <xf numFmtId="166" fontId="40" fillId="0" borderId="18" xfId="0" applyFont="1" applyBorder="1" applyAlignment="1">
      <alignment horizontal="left" vertical="center"/>
    </xf>
    <xf numFmtId="43" fontId="40" fillId="0" borderId="18" xfId="2" applyFont="1" applyBorder="1" applyAlignment="1" applyProtection="1">
      <alignment horizontal="left" vertical="center"/>
    </xf>
    <xf numFmtId="43" fontId="29" fillId="0" borderId="18" xfId="2" applyFont="1" applyBorder="1" applyAlignment="1" applyProtection="1">
      <alignment horizontal="left" vertical="center"/>
    </xf>
    <xf numFmtId="166" fontId="40" fillId="0" borderId="18" xfId="0" applyFont="1" applyBorder="1" applyAlignment="1">
      <alignment horizontal="left" vertical="center" wrapText="1"/>
    </xf>
    <xf numFmtId="43" fontId="8" fillId="0" borderId="18" xfId="2" applyFont="1" applyBorder="1" applyAlignment="1" applyProtection="1">
      <alignment horizontal="left" vertical="center" wrapText="1"/>
    </xf>
    <xf numFmtId="43" fontId="29" fillId="0" borderId="18" xfId="2" applyFont="1" applyBorder="1" applyAlignment="1" applyProtection="1">
      <alignment horizontal="left" vertical="center" wrapText="1"/>
    </xf>
    <xf numFmtId="43" fontId="7" fillId="0" borderId="18" xfId="2" applyFont="1" applyBorder="1" applyAlignment="1" applyProtection="1">
      <alignment horizontal="left" vertical="center" wrapText="1"/>
    </xf>
    <xf numFmtId="43" fontId="40" fillId="0" borderId="18" xfId="2" applyFont="1" applyBorder="1" applyAlignment="1" applyProtection="1">
      <alignment horizontal="left" vertical="center" wrapText="1"/>
    </xf>
    <xf numFmtId="1" fontId="7" fillId="0" borderId="98" xfId="0" applyNumberFormat="1" applyFont="1" applyBorder="1" applyAlignment="1">
      <alignment horizontal="right" vertical="center"/>
    </xf>
    <xf numFmtId="166" fontId="7" fillId="0" borderId="99" xfId="0" applyFont="1" applyBorder="1" applyAlignment="1">
      <alignment vertical="center" wrapText="1"/>
    </xf>
    <xf numFmtId="167" fontId="8" fillId="0" borderId="98" xfId="0" applyNumberFormat="1" applyFont="1" applyBorder="1" applyAlignment="1">
      <alignment horizontal="right" vertical="center"/>
    </xf>
    <xf numFmtId="166" fontId="8" fillId="0" borderId="99" xfId="0" applyFont="1" applyBorder="1" applyAlignment="1">
      <alignment vertical="center" wrapText="1"/>
    </xf>
    <xf numFmtId="39" fontId="8" fillId="0" borderId="99" xfId="0" applyNumberFormat="1" applyFont="1" applyBorder="1" applyAlignment="1">
      <alignment horizontal="right" vertical="center"/>
    </xf>
    <xf numFmtId="166" fontId="8" fillId="0" borderId="99" xfId="0" applyFont="1" applyBorder="1" applyAlignment="1">
      <alignment horizontal="center" vertical="center"/>
    </xf>
    <xf numFmtId="39" fontId="8" fillId="0" borderId="99" xfId="0" applyNumberFormat="1" applyFont="1" applyBorder="1" applyAlignment="1">
      <alignment vertical="center"/>
    </xf>
    <xf numFmtId="39" fontId="7" fillId="0" borderId="100" xfId="0" applyNumberFormat="1" applyFont="1" applyBorder="1" applyAlignment="1">
      <alignment vertical="center"/>
    </xf>
    <xf numFmtId="39" fontId="8" fillId="0" borderId="101" xfId="0" applyNumberFormat="1" applyFont="1" applyBorder="1" applyAlignment="1">
      <alignment horizontal="right" vertical="center"/>
    </xf>
    <xf numFmtId="166" fontId="8" fillId="0" borderId="101" xfId="0" applyFont="1" applyBorder="1" applyAlignment="1">
      <alignment horizontal="center" vertical="center"/>
    </xf>
    <xf numFmtId="39" fontId="8" fillId="0" borderId="101" xfId="0" applyNumberFormat="1" applyFont="1" applyBorder="1" applyAlignment="1">
      <alignment vertical="center"/>
    </xf>
    <xf numFmtId="39" fontId="8" fillId="0" borderId="102" xfId="0" applyNumberFormat="1" applyFont="1" applyBorder="1" applyAlignment="1">
      <alignment horizontal="right" vertical="center"/>
    </xf>
    <xf numFmtId="39" fontId="8" fillId="0" borderId="99" xfId="0" applyNumberFormat="1" applyFont="1" applyBorder="1" applyAlignment="1">
      <alignment horizontal="center" vertical="center"/>
    </xf>
  </cellXfs>
  <cellStyles count="21">
    <cellStyle name="Comma" xfId="2" builtinId="3"/>
    <cellStyle name="Euro" xfId="1" xr:uid="{00000000-0005-0000-0000-000000000000}"/>
    <cellStyle name="Millares 10" xfId="3" xr:uid="{00000000-0005-0000-0000-000002000000}"/>
    <cellStyle name="Millares 10 2" xfId="9" xr:uid="{00000000-0005-0000-0000-000003000000}"/>
    <cellStyle name="Millares 12" xfId="14" xr:uid="{00000000-0005-0000-0000-000004000000}"/>
    <cellStyle name="Millares 2" xfId="4" xr:uid="{00000000-0005-0000-0000-000005000000}"/>
    <cellStyle name="Millares 2 2" xfId="8" xr:uid="{00000000-0005-0000-0000-000006000000}"/>
    <cellStyle name="Millares 2 2 3" xfId="15" xr:uid="{00000000-0005-0000-0000-000007000000}"/>
    <cellStyle name="Millares 2 4" xfId="16" xr:uid="{00000000-0005-0000-0000-000008000000}"/>
    <cellStyle name="Millares 3" xfId="13" xr:uid="{00000000-0005-0000-0000-000009000000}"/>
    <cellStyle name="Millares 8" xfId="11" xr:uid="{00000000-0005-0000-0000-00000A000000}"/>
    <cellStyle name="Normal" xfId="0" builtinId="0"/>
    <cellStyle name="Normal 2" xfId="5" xr:uid="{00000000-0005-0000-0000-00000C000000}"/>
    <cellStyle name="Normal 2 2" xfId="17" xr:uid="{00000000-0005-0000-0000-00000D000000}"/>
    <cellStyle name="Normal 2_2011-102" xfId="20" xr:uid="{00000000-0005-0000-0000-00000E000000}"/>
    <cellStyle name="Normal 3" xfId="6" xr:uid="{00000000-0005-0000-0000-00000F000000}"/>
    <cellStyle name="Percent" xfId="12" builtinId="5"/>
    <cellStyle name="Porcentaje 2" xfId="18" xr:uid="{00000000-0005-0000-0000-000011000000}"/>
    <cellStyle name="Porcentaje 3" xfId="19" xr:uid="{00000000-0005-0000-0000-000012000000}"/>
    <cellStyle name="Porcentual 10" xfId="7" xr:uid="{00000000-0005-0000-0000-000013000000}"/>
    <cellStyle name="Porcentual 10 2" xfId="1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COSTOS-UEP\Costos\PRESUPUESTOS%202013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F4C0-FFA8-4DAA-B149-43E8CA721240}">
  <sheetPr transitionEvaluation="1"/>
  <dimension ref="A1:AD135"/>
  <sheetViews>
    <sheetView showGridLines="0" showZeros="0" topLeftCell="F99" zoomScale="70" zoomScaleNormal="70" workbookViewId="0">
      <selection activeCell="D53" sqref="D53:D98"/>
    </sheetView>
  </sheetViews>
  <sheetFormatPr defaultColWidth="12.6640625" defaultRowHeight="15" customHeight="1"/>
  <cols>
    <col min="1" max="1" width="21.77734375" style="38" customWidth="1"/>
    <col min="2" max="2" width="9.77734375" style="1" customWidth="1"/>
    <col min="3" max="3" width="12.77734375" style="3" customWidth="1"/>
    <col min="4" max="4" width="13" style="2" customWidth="1"/>
    <col min="5" max="5" width="12.109375" style="3" customWidth="1"/>
    <col min="6" max="6" width="14.44140625" style="1" customWidth="1"/>
    <col min="7" max="7" width="13" style="1" customWidth="1"/>
    <col min="8" max="8" width="15.88671875" style="4" customWidth="1"/>
    <col min="9" max="9" width="9.33203125" style="39" customWidth="1"/>
    <col min="10" max="10" width="10.5546875" style="39" customWidth="1"/>
    <col min="11" max="11" width="9.33203125" style="39" customWidth="1"/>
    <col min="12" max="12" width="12.33203125" style="1" customWidth="1"/>
    <col min="13" max="13" width="13.77734375" style="1" customWidth="1"/>
    <col min="14" max="14" width="10.77734375" style="1" bestFit="1" customWidth="1"/>
    <col min="15" max="15" width="13.88671875" style="1" customWidth="1"/>
    <col min="16" max="16" width="13.6640625" style="1" customWidth="1"/>
    <col min="17" max="19" width="12.6640625" style="1"/>
    <col min="20" max="20" width="15.44140625" style="1" customWidth="1"/>
    <col min="21" max="21" width="16.6640625" style="1" customWidth="1"/>
    <col min="22" max="16384" width="12.6640625" style="1"/>
  </cols>
  <sheetData>
    <row r="1" spans="1:30" ht="15" customHeight="1" thickTop="1">
      <c r="A1" s="505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7"/>
      <c r="P1" s="505" t="s">
        <v>0</v>
      </c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7"/>
    </row>
    <row r="2" spans="1:30" ht="15" customHeight="1">
      <c r="A2" s="534" t="s">
        <v>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9"/>
      <c r="P2" s="534" t="s">
        <v>1</v>
      </c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9"/>
    </row>
    <row r="3" spans="1:30" ht="15" customHeight="1">
      <c r="A3" s="181"/>
      <c r="B3" s="182"/>
      <c r="C3" s="182"/>
      <c r="D3" s="183"/>
      <c r="E3" s="183"/>
      <c r="F3" s="183"/>
      <c r="G3" s="184"/>
      <c r="H3" s="185"/>
      <c r="I3" s="185"/>
      <c r="J3" s="184"/>
      <c r="K3" s="185"/>
      <c r="L3" s="185"/>
      <c r="M3" s="185"/>
      <c r="N3" s="184"/>
      <c r="O3" s="184"/>
      <c r="P3" s="181"/>
      <c r="Q3" s="182"/>
      <c r="R3" s="182"/>
      <c r="S3" s="183"/>
      <c r="T3" s="183"/>
      <c r="U3" s="183"/>
      <c r="V3" s="184"/>
      <c r="W3" s="185"/>
      <c r="X3" s="185"/>
      <c r="Y3" s="184"/>
      <c r="Z3" s="185"/>
      <c r="AA3" s="185"/>
      <c r="AB3" s="185"/>
      <c r="AC3" s="184"/>
      <c r="AD3" s="184"/>
    </row>
    <row r="4" spans="1:30" ht="15" customHeight="1" thickBot="1">
      <c r="A4" s="181"/>
      <c r="B4" s="182"/>
      <c r="C4" s="182"/>
      <c r="D4" s="183"/>
      <c r="E4" s="183"/>
      <c r="F4" s="183"/>
      <c r="G4" s="184"/>
      <c r="H4" s="185"/>
      <c r="I4" s="185"/>
      <c r="J4" s="184"/>
      <c r="K4" s="185"/>
      <c r="L4" s="185"/>
      <c r="M4" s="185"/>
      <c r="N4" s="184"/>
      <c r="O4" s="184"/>
      <c r="P4" s="181"/>
      <c r="Q4" s="182"/>
      <c r="R4" s="182"/>
      <c r="S4" s="183"/>
      <c r="T4" s="183"/>
      <c r="U4" s="183"/>
      <c r="V4" s="184"/>
      <c r="W4" s="185"/>
      <c r="X4" s="185"/>
      <c r="Y4" s="184"/>
      <c r="Z4" s="185"/>
      <c r="AA4" s="185"/>
      <c r="AB4" s="185"/>
      <c r="AC4" s="184"/>
      <c r="AD4" s="184"/>
    </row>
    <row r="5" spans="1:30" ht="23.25" customHeight="1" thickTop="1" thickBot="1">
      <c r="A5" s="186" t="s">
        <v>2</v>
      </c>
      <c r="B5" s="186" t="s">
        <v>3</v>
      </c>
      <c r="C5" s="187" t="s">
        <v>4</v>
      </c>
      <c r="D5" s="188" t="s">
        <v>5</v>
      </c>
      <c r="E5" s="188" t="s">
        <v>6</v>
      </c>
      <c r="F5" s="188" t="s">
        <v>7</v>
      </c>
      <c r="G5" s="188" t="s">
        <v>8</v>
      </c>
      <c r="H5" s="187" t="s">
        <v>9</v>
      </c>
      <c r="I5" s="187" t="s">
        <v>10</v>
      </c>
      <c r="J5" s="189" t="s">
        <v>11</v>
      </c>
      <c r="K5" s="190" t="s">
        <v>12</v>
      </c>
      <c r="L5" s="190" t="s">
        <v>13</v>
      </c>
      <c r="M5" s="191" t="s">
        <v>14</v>
      </c>
      <c r="N5" s="191" t="s">
        <v>15</v>
      </c>
      <c r="O5" s="191" t="s">
        <v>16</v>
      </c>
      <c r="P5" s="186" t="s">
        <v>2</v>
      </c>
      <c r="Q5" s="186" t="s">
        <v>3</v>
      </c>
      <c r="R5" s="187" t="s">
        <v>4</v>
      </c>
      <c r="S5" s="188" t="s">
        <v>5</v>
      </c>
      <c r="T5" s="188" t="s">
        <v>6</v>
      </c>
      <c r="U5" s="188" t="s">
        <v>7</v>
      </c>
      <c r="V5" s="188" t="s">
        <v>8</v>
      </c>
      <c r="W5" s="187" t="s">
        <v>9</v>
      </c>
      <c r="X5" s="187" t="s">
        <v>10</v>
      </c>
      <c r="Y5" s="189" t="s">
        <v>11</v>
      </c>
      <c r="Z5" s="190" t="s">
        <v>12</v>
      </c>
      <c r="AA5" s="190" t="s">
        <v>13</v>
      </c>
      <c r="AB5" s="191" t="s">
        <v>14</v>
      </c>
      <c r="AC5" s="191" t="s">
        <v>15</v>
      </c>
      <c r="AD5" s="191" t="s">
        <v>16</v>
      </c>
    </row>
    <row r="6" spans="1:30" ht="15" customHeight="1" thickTop="1">
      <c r="A6" s="535"/>
      <c r="B6" s="536"/>
      <c r="C6" s="536"/>
      <c r="D6" s="537"/>
      <c r="E6" s="537"/>
      <c r="F6" s="537"/>
      <c r="G6" s="537"/>
      <c r="H6" s="536"/>
      <c r="I6" s="536"/>
      <c r="J6" s="537"/>
      <c r="K6" s="536"/>
      <c r="L6" s="537"/>
      <c r="M6" s="537"/>
      <c r="N6" s="537"/>
      <c r="O6" s="537"/>
      <c r="P6" s="535"/>
      <c r="Q6" s="536"/>
      <c r="R6" s="536"/>
      <c r="S6" s="537"/>
      <c r="T6" s="537"/>
      <c r="U6" s="537"/>
      <c r="V6" s="537"/>
      <c r="W6" s="536"/>
      <c r="X6" s="536"/>
      <c r="Y6" s="537"/>
      <c r="Z6" s="536"/>
      <c r="AA6" s="537"/>
      <c r="AB6" s="537"/>
      <c r="AC6" s="537"/>
      <c r="AD6" s="537"/>
    </row>
    <row r="7" spans="1:30" ht="15" customHeight="1">
      <c r="A7" s="538">
        <v>1</v>
      </c>
      <c r="B7" s="536">
        <v>1.5</v>
      </c>
      <c r="C7" s="536" t="s">
        <v>17</v>
      </c>
      <c r="D7" s="539"/>
      <c r="E7" s="539">
        <v>0.6</v>
      </c>
      <c r="F7" s="539">
        <v>1.1499999999999999</v>
      </c>
      <c r="G7" s="539">
        <f>(((((B7*2.54)/100)*((B7*2.54)/100))*3.14)/4)*D7</f>
        <v>0</v>
      </c>
      <c r="H7" s="540">
        <v>1.009463</v>
      </c>
      <c r="I7" s="541">
        <f t="shared" ref="I7:X15" si="0">D7*H7</f>
        <v>0</v>
      </c>
      <c r="J7" s="539">
        <f t="shared" ref="J7:Y15" si="1">D7*E7*F7</f>
        <v>0</v>
      </c>
      <c r="K7" s="541">
        <f t="shared" ref="K7:Z15" si="2">D7*E7*0.1</f>
        <v>0</v>
      </c>
      <c r="L7" s="539">
        <f>J7-(G7+K7)</f>
        <v>0</v>
      </c>
      <c r="M7" s="539">
        <f t="shared" ref="M7:AB15" si="3">(D7*E7*(((B7*2.54)/100)+0.3)-G7)</f>
        <v>0</v>
      </c>
      <c r="N7" s="539">
        <f>(M7+K7)*1.3</f>
        <v>0</v>
      </c>
      <c r="O7" s="539">
        <f>(J7-L7)*1.3</f>
        <v>0</v>
      </c>
      <c r="P7" s="538">
        <v>1</v>
      </c>
      <c r="Q7" s="536">
        <v>1.5</v>
      </c>
      <c r="R7" s="536" t="s">
        <v>17</v>
      </c>
      <c r="S7" s="539"/>
      <c r="T7" s="539">
        <v>0.6</v>
      </c>
      <c r="U7" s="539">
        <v>1.1499999999999999</v>
      </c>
      <c r="V7" s="539">
        <f>(((((Q7*2.54)/100)*((Q7*2.54)/100))*3.14)/4)*S7</f>
        <v>0</v>
      </c>
      <c r="W7" s="540">
        <v>1.009463</v>
      </c>
      <c r="X7" s="541">
        <f t="shared" si="0"/>
        <v>0</v>
      </c>
      <c r="Y7" s="539">
        <f t="shared" si="1"/>
        <v>0</v>
      </c>
      <c r="Z7" s="541">
        <f t="shared" si="2"/>
        <v>0</v>
      </c>
      <c r="AA7" s="539">
        <f>Y7-(V7+Z7)</f>
        <v>0</v>
      </c>
      <c r="AB7" s="539">
        <f t="shared" si="3"/>
        <v>0</v>
      </c>
      <c r="AC7" s="539">
        <f>(AB7+Z7)*1.3</f>
        <v>0</v>
      </c>
      <c r="AD7" s="539">
        <f>(Y7-AA7)*1.3</f>
        <v>0</v>
      </c>
    </row>
    <row r="8" spans="1:30" ht="15" customHeight="1">
      <c r="A8" s="538">
        <f>+A7+1</f>
        <v>2</v>
      </c>
      <c r="B8" s="536">
        <v>2</v>
      </c>
      <c r="C8" s="536" t="s">
        <v>17</v>
      </c>
      <c r="D8" s="539"/>
      <c r="E8" s="539">
        <v>0.6</v>
      </c>
      <c r="F8" s="539">
        <v>1.1499999999999999</v>
      </c>
      <c r="G8" s="539">
        <f>(((((B8*2.54)/100)*((B8*2.54)/100))*3.14)/4)*D8</f>
        <v>0</v>
      </c>
      <c r="H8" s="540">
        <v>1.009463</v>
      </c>
      <c r="I8" s="541">
        <f>D8*H8</f>
        <v>0</v>
      </c>
      <c r="J8" s="539">
        <f>D8*E8*F8</f>
        <v>0</v>
      </c>
      <c r="K8" s="541">
        <f>D8*E8*0.1</f>
        <v>0</v>
      </c>
      <c r="L8" s="539">
        <f>J8-(G8+K8)</f>
        <v>0</v>
      </c>
      <c r="M8" s="539">
        <f>(D8*E8*(((B8*2.54)/100)+0.3)-G8)</f>
        <v>0</v>
      </c>
      <c r="N8" s="539">
        <f>(M8+K8)*1.3</f>
        <v>0</v>
      </c>
      <c r="O8" s="539">
        <f>(J8-L8)*1.3</f>
        <v>0</v>
      </c>
      <c r="P8" s="538">
        <f>+P7+1</f>
        <v>2</v>
      </c>
      <c r="Q8" s="536">
        <v>2</v>
      </c>
      <c r="R8" s="536" t="s">
        <v>17</v>
      </c>
      <c r="S8" s="539"/>
      <c r="T8" s="539">
        <v>0.6</v>
      </c>
      <c r="U8" s="539">
        <v>1.1499999999999999</v>
      </c>
      <c r="V8" s="539">
        <f>(((((Q8*2.54)/100)*((Q8*2.54)/100))*3.14)/4)*S8</f>
        <v>0</v>
      </c>
      <c r="W8" s="540">
        <v>1.009463</v>
      </c>
      <c r="X8" s="541">
        <f>S8*W8</f>
        <v>0</v>
      </c>
      <c r="Y8" s="539">
        <f>S8*T8*U8</f>
        <v>0</v>
      </c>
      <c r="Z8" s="541">
        <f>S8*T8*0.1</f>
        <v>0</v>
      </c>
      <c r="AA8" s="539">
        <f>Y8-(V8+Z8)</f>
        <v>0</v>
      </c>
      <c r="AB8" s="539">
        <f>(S8*T8*(((Q8*2.54)/100)+0.3)-V8)</f>
        <v>0</v>
      </c>
      <c r="AC8" s="539">
        <f>(AB8+Z8)*1.3</f>
        <v>0</v>
      </c>
      <c r="AD8" s="539">
        <f>(Y8-AA8)*1.3</f>
        <v>0</v>
      </c>
    </row>
    <row r="9" spans="1:30" ht="15" customHeight="1">
      <c r="A9" s="538">
        <f t="shared" ref="A9:P15" si="4">+A8+1</f>
        <v>3</v>
      </c>
      <c r="B9" s="536">
        <v>3</v>
      </c>
      <c r="C9" s="536" t="s">
        <v>17</v>
      </c>
      <c r="D9" s="539"/>
      <c r="E9" s="539">
        <v>0.6</v>
      </c>
      <c r="F9" s="539">
        <v>1.1499999999999999</v>
      </c>
      <c r="G9" s="539">
        <f t="shared" ref="G9:V15" si="5">(((((B9*2.54)/100)*((B9*2.54)/100))*3.14)/4)*D9</f>
        <v>0</v>
      </c>
      <c r="H9" s="540">
        <v>1.013727</v>
      </c>
      <c r="I9" s="541">
        <f t="shared" si="0"/>
        <v>0</v>
      </c>
      <c r="J9" s="539">
        <f t="shared" si="1"/>
        <v>0</v>
      </c>
      <c r="K9" s="541">
        <f t="shared" si="2"/>
        <v>0</v>
      </c>
      <c r="L9" s="539">
        <f t="shared" ref="L9:AA15" si="6">J9-(G9+K9)</f>
        <v>0</v>
      </c>
      <c r="M9" s="539">
        <f t="shared" si="3"/>
        <v>0</v>
      </c>
      <c r="N9" s="539">
        <f t="shared" ref="N9:AC15" si="7">(M9+K9)*1.3</f>
        <v>0</v>
      </c>
      <c r="O9" s="539">
        <f t="shared" ref="O9:AD15" si="8">(J9-L9)*1.3</f>
        <v>0</v>
      </c>
      <c r="P9" s="538">
        <f t="shared" si="4"/>
        <v>3</v>
      </c>
      <c r="Q9" s="536">
        <v>3</v>
      </c>
      <c r="R9" s="536" t="s">
        <v>17</v>
      </c>
      <c r="S9" s="539"/>
      <c r="T9" s="539">
        <v>0.6</v>
      </c>
      <c r="U9" s="539">
        <v>1.1499999999999999</v>
      </c>
      <c r="V9" s="539">
        <f t="shared" si="5"/>
        <v>0</v>
      </c>
      <c r="W9" s="540">
        <v>1.013727</v>
      </c>
      <c r="X9" s="541">
        <f t="shared" si="0"/>
        <v>0</v>
      </c>
      <c r="Y9" s="539">
        <f t="shared" si="1"/>
        <v>0</v>
      </c>
      <c r="Z9" s="541">
        <f t="shared" si="2"/>
        <v>0</v>
      </c>
      <c r="AA9" s="539">
        <f t="shared" si="6"/>
        <v>0</v>
      </c>
      <c r="AB9" s="539">
        <f t="shared" si="3"/>
        <v>0</v>
      </c>
      <c r="AC9" s="539">
        <f t="shared" si="7"/>
        <v>0</v>
      </c>
      <c r="AD9" s="539">
        <f t="shared" si="8"/>
        <v>0</v>
      </c>
    </row>
    <row r="10" spans="1:30" ht="27.75" customHeight="1">
      <c r="A10" s="538">
        <f t="shared" si="4"/>
        <v>4</v>
      </c>
      <c r="B10" s="536"/>
      <c r="C10" s="536" t="s">
        <v>17</v>
      </c>
      <c r="D10" s="539"/>
      <c r="E10" s="539">
        <v>5</v>
      </c>
      <c r="F10" s="539">
        <v>4</v>
      </c>
      <c r="G10" s="539">
        <f t="shared" si="5"/>
        <v>0</v>
      </c>
      <c r="H10" s="540">
        <v>1.013727</v>
      </c>
      <c r="I10" s="541">
        <f t="shared" si="0"/>
        <v>0</v>
      </c>
      <c r="J10" s="539">
        <f t="shared" si="1"/>
        <v>0</v>
      </c>
      <c r="K10" s="541">
        <f t="shared" si="2"/>
        <v>0</v>
      </c>
      <c r="L10" s="539">
        <f>+J10-(D10*3.1*2.65)</f>
        <v>0</v>
      </c>
      <c r="M10" s="539">
        <f t="shared" si="3"/>
        <v>0</v>
      </c>
      <c r="N10" s="539">
        <f t="shared" si="7"/>
        <v>0</v>
      </c>
      <c r="O10" s="539">
        <f t="shared" si="8"/>
        <v>0</v>
      </c>
      <c r="P10" s="538">
        <f t="shared" si="4"/>
        <v>4</v>
      </c>
      <c r="Q10" s="536">
        <v>4</v>
      </c>
      <c r="R10" s="536" t="s">
        <v>17</v>
      </c>
      <c r="S10" s="539"/>
      <c r="T10" s="539">
        <v>0.6</v>
      </c>
      <c r="U10" s="539">
        <v>1.2</v>
      </c>
      <c r="V10" s="539">
        <f t="shared" si="5"/>
        <v>0</v>
      </c>
      <c r="W10" s="540">
        <v>1.013727</v>
      </c>
      <c r="X10" s="541">
        <f t="shared" si="0"/>
        <v>0</v>
      </c>
      <c r="Y10" s="539">
        <f t="shared" si="1"/>
        <v>0</v>
      </c>
      <c r="Z10" s="541">
        <f t="shared" si="2"/>
        <v>0</v>
      </c>
      <c r="AA10" s="539">
        <f t="shared" si="6"/>
        <v>0</v>
      </c>
      <c r="AB10" s="539">
        <f t="shared" si="3"/>
        <v>0</v>
      </c>
      <c r="AC10" s="539">
        <f t="shared" si="7"/>
        <v>0</v>
      </c>
      <c r="AD10" s="539">
        <f t="shared" si="8"/>
        <v>0</v>
      </c>
    </row>
    <row r="11" spans="1:30" ht="21.75" customHeight="1">
      <c r="A11" s="538">
        <f t="shared" si="4"/>
        <v>5</v>
      </c>
      <c r="B11" s="536">
        <v>6</v>
      </c>
      <c r="C11" s="536" t="s">
        <v>17</v>
      </c>
      <c r="D11" s="539"/>
      <c r="E11" s="539">
        <v>0.7</v>
      </c>
      <c r="F11" s="539">
        <v>1.25</v>
      </c>
      <c r="G11" s="539">
        <f t="shared" si="5"/>
        <v>0</v>
      </c>
      <c r="H11" s="540">
        <v>1.016945</v>
      </c>
      <c r="I11" s="541">
        <f t="shared" si="0"/>
        <v>0</v>
      </c>
      <c r="J11" s="539">
        <f t="shared" si="1"/>
        <v>0</v>
      </c>
      <c r="K11" s="541">
        <f t="shared" si="2"/>
        <v>0</v>
      </c>
      <c r="L11" s="539">
        <f t="shared" si="6"/>
        <v>0</v>
      </c>
      <c r="M11" s="539">
        <f t="shared" si="3"/>
        <v>0</v>
      </c>
      <c r="N11" s="539">
        <f t="shared" si="7"/>
        <v>0</v>
      </c>
      <c r="O11" s="539">
        <f t="shared" si="8"/>
        <v>0</v>
      </c>
      <c r="P11" s="538">
        <f t="shared" si="4"/>
        <v>5</v>
      </c>
      <c r="Q11" s="536">
        <v>6</v>
      </c>
      <c r="R11" s="536" t="s">
        <v>17</v>
      </c>
      <c r="S11" s="539"/>
      <c r="T11" s="539">
        <v>0.7</v>
      </c>
      <c r="U11" s="539">
        <v>1.25</v>
      </c>
      <c r="V11" s="539">
        <f t="shared" si="5"/>
        <v>0</v>
      </c>
      <c r="W11" s="540">
        <v>1.016945</v>
      </c>
      <c r="X11" s="541">
        <f t="shared" si="0"/>
        <v>0</v>
      </c>
      <c r="Y11" s="539">
        <f t="shared" si="1"/>
        <v>0</v>
      </c>
      <c r="Z11" s="541">
        <f t="shared" si="2"/>
        <v>0</v>
      </c>
      <c r="AA11" s="539">
        <f t="shared" si="6"/>
        <v>0</v>
      </c>
      <c r="AB11" s="539">
        <f t="shared" si="3"/>
        <v>0</v>
      </c>
      <c r="AC11" s="539">
        <f t="shared" si="7"/>
        <v>0</v>
      </c>
      <c r="AD11" s="539">
        <f t="shared" si="8"/>
        <v>0</v>
      </c>
    </row>
    <row r="12" spans="1:30" ht="20.25" customHeight="1">
      <c r="A12" s="538">
        <f t="shared" si="4"/>
        <v>6</v>
      </c>
      <c r="B12" s="536">
        <v>8</v>
      </c>
      <c r="C12" s="536" t="s">
        <v>17</v>
      </c>
      <c r="D12" s="539"/>
      <c r="E12" s="539">
        <v>0.75</v>
      </c>
      <c r="F12" s="539">
        <v>1.3</v>
      </c>
      <c r="G12" s="539">
        <f t="shared" si="5"/>
        <v>0</v>
      </c>
      <c r="H12" s="540">
        <v>1.025641</v>
      </c>
      <c r="I12" s="541">
        <f t="shared" si="0"/>
        <v>0</v>
      </c>
      <c r="J12" s="539">
        <f t="shared" si="1"/>
        <v>0</v>
      </c>
      <c r="K12" s="541">
        <f t="shared" si="2"/>
        <v>0</v>
      </c>
      <c r="L12" s="539">
        <f t="shared" si="6"/>
        <v>0</v>
      </c>
      <c r="M12" s="539">
        <f t="shared" si="3"/>
        <v>0</v>
      </c>
      <c r="N12" s="539">
        <f t="shared" si="7"/>
        <v>0</v>
      </c>
      <c r="O12" s="539">
        <f t="shared" si="8"/>
        <v>0</v>
      </c>
      <c r="P12" s="538">
        <f t="shared" si="4"/>
        <v>6</v>
      </c>
      <c r="Q12" s="536">
        <v>8</v>
      </c>
      <c r="R12" s="536" t="s">
        <v>17</v>
      </c>
      <c r="S12" s="539">
        <v>105.11</v>
      </c>
      <c r="T12" s="539">
        <v>0.75</v>
      </c>
      <c r="U12" s="539">
        <v>1.3</v>
      </c>
      <c r="V12" s="539">
        <f t="shared" si="5"/>
        <v>3.41</v>
      </c>
      <c r="W12" s="540">
        <v>1.025641</v>
      </c>
      <c r="X12" s="541">
        <f t="shared" si="0"/>
        <v>107.81</v>
      </c>
      <c r="Y12" s="539">
        <f t="shared" si="1"/>
        <v>102.48</v>
      </c>
      <c r="Z12" s="541">
        <f t="shared" si="2"/>
        <v>7.88</v>
      </c>
      <c r="AA12" s="539">
        <f t="shared" si="6"/>
        <v>91.19</v>
      </c>
      <c r="AB12" s="539">
        <f t="shared" si="3"/>
        <v>36.26</v>
      </c>
      <c r="AC12" s="539">
        <f t="shared" si="7"/>
        <v>57.38</v>
      </c>
      <c r="AD12" s="539">
        <f t="shared" si="8"/>
        <v>14.68</v>
      </c>
    </row>
    <row r="13" spans="1:30" ht="15" customHeight="1">
      <c r="A13" s="538">
        <f t="shared" si="4"/>
        <v>7</v>
      </c>
      <c r="B13" s="536">
        <v>12</v>
      </c>
      <c r="C13" s="536" t="s">
        <v>17</v>
      </c>
      <c r="D13" s="539"/>
      <c r="E13" s="539">
        <v>0.85</v>
      </c>
      <c r="F13" s="539">
        <v>1.4</v>
      </c>
      <c r="G13" s="539">
        <f t="shared" si="5"/>
        <v>0</v>
      </c>
      <c r="H13" s="540">
        <v>1.0367170000000001</v>
      </c>
      <c r="I13" s="541">
        <f t="shared" si="0"/>
        <v>0</v>
      </c>
      <c r="J13" s="539">
        <f t="shared" si="1"/>
        <v>0</v>
      </c>
      <c r="K13" s="541">
        <f t="shared" si="2"/>
        <v>0</v>
      </c>
      <c r="L13" s="539">
        <f t="shared" si="6"/>
        <v>0</v>
      </c>
      <c r="M13" s="539">
        <f t="shared" si="3"/>
        <v>0</v>
      </c>
      <c r="N13" s="539">
        <f t="shared" si="7"/>
        <v>0</v>
      </c>
      <c r="O13" s="539">
        <f t="shared" si="8"/>
        <v>0</v>
      </c>
      <c r="P13" s="538">
        <f t="shared" si="4"/>
        <v>7</v>
      </c>
      <c r="Q13" s="536">
        <v>12</v>
      </c>
      <c r="R13" s="536" t="s">
        <v>17</v>
      </c>
      <c r="S13" s="539"/>
      <c r="T13" s="539">
        <v>0.85</v>
      </c>
      <c r="U13" s="539">
        <v>1.4</v>
      </c>
      <c r="V13" s="539">
        <f t="shared" si="5"/>
        <v>0</v>
      </c>
      <c r="W13" s="540">
        <v>1.0367170000000001</v>
      </c>
      <c r="X13" s="541">
        <f t="shared" si="0"/>
        <v>0</v>
      </c>
      <c r="Y13" s="539">
        <f t="shared" si="1"/>
        <v>0</v>
      </c>
      <c r="Z13" s="541">
        <f t="shared" si="2"/>
        <v>0</v>
      </c>
      <c r="AA13" s="539">
        <f t="shared" si="6"/>
        <v>0</v>
      </c>
      <c r="AB13" s="539">
        <f t="shared" si="3"/>
        <v>0</v>
      </c>
      <c r="AC13" s="539">
        <f t="shared" si="7"/>
        <v>0</v>
      </c>
      <c r="AD13" s="539">
        <f t="shared" si="8"/>
        <v>0</v>
      </c>
    </row>
    <row r="14" spans="1:30" ht="18" customHeight="1">
      <c r="A14" s="538">
        <f t="shared" si="4"/>
        <v>8</v>
      </c>
      <c r="B14" s="536">
        <v>16</v>
      </c>
      <c r="C14" s="536" t="s">
        <v>17</v>
      </c>
      <c r="D14" s="539"/>
      <c r="E14" s="539">
        <v>1</v>
      </c>
      <c r="F14" s="539">
        <v>1.5</v>
      </c>
      <c r="G14" s="539">
        <f t="shared" si="5"/>
        <v>0</v>
      </c>
      <c r="H14" s="540">
        <v>1.0434779999999999</v>
      </c>
      <c r="I14" s="541">
        <f t="shared" si="0"/>
        <v>0</v>
      </c>
      <c r="J14" s="539">
        <f t="shared" si="1"/>
        <v>0</v>
      </c>
      <c r="K14" s="541">
        <f t="shared" si="2"/>
        <v>0</v>
      </c>
      <c r="L14" s="539">
        <f t="shared" si="6"/>
        <v>0</v>
      </c>
      <c r="M14" s="539">
        <f t="shared" si="3"/>
        <v>0</v>
      </c>
      <c r="N14" s="539">
        <f t="shared" si="7"/>
        <v>0</v>
      </c>
      <c r="O14" s="539">
        <f t="shared" si="8"/>
        <v>0</v>
      </c>
      <c r="P14" s="538">
        <f t="shared" si="4"/>
        <v>8</v>
      </c>
      <c r="Q14" s="536">
        <v>16</v>
      </c>
      <c r="R14" s="536" t="s">
        <v>17</v>
      </c>
      <c r="S14" s="539"/>
      <c r="T14" s="539">
        <v>1</v>
      </c>
      <c r="U14" s="539">
        <v>1.5</v>
      </c>
      <c r="V14" s="539">
        <f t="shared" si="5"/>
        <v>0</v>
      </c>
      <c r="W14" s="540">
        <v>1.0434779999999999</v>
      </c>
      <c r="X14" s="541">
        <f t="shared" si="0"/>
        <v>0</v>
      </c>
      <c r="Y14" s="539">
        <f t="shared" si="1"/>
        <v>0</v>
      </c>
      <c r="Z14" s="541">
        <f t="shared" si="2"/>
        <v>0</v>
      </c>
      <c r="AA14" s="539">
        <f t="shared" si="6"/>
        <v>0</v>
      </c>
      <c r="AB14" s="539">
        <f t="shared" si="3"/>
        <v>0</v>
      </c>
      <c r="AC14" s="539">
        <f t="shared" si="7"/>
        <v>0</v>
      </c>
      <c r="AD14" s="539">
        <f t="shared" si="8"/>
        <v>0</v>
      </c>
    </row>
    <row r="15" spans="1:30" ht="15" customHeight="1">
      <c r="A15" s="538">
        <f t="shared" si="4"/>
        <v>9</v>
      </c>
      <c r="B15" s="536">
        <v>36</v>
      </c>
      <c r="C15" s="536" t="s">
        <v>17</v>
      </c>
      <c r="D15" s="539"/>
      <c r="E15" s="539">
        <v>1.55</v>
      </c>
      <c r="F15" s="539">
        <v>2.0499999999999998</v>
      </c>
      <c r="G15" s="539">
        <f t="shared" si="5"/>
        <v>0</v>
      </c>
      <c r="H15" s="540">
        <v>1.0526310000000001</v>
      </c>
      <c r="I15" s="541">
        <f t="shared" si="0"/>
        <v>0</v>
      </c>
      <c r="J15" s="539">
        <f t="shared" si="1"/>
        <v>0</v>
      </c>
      <c r="K15" s="541">
        <f t="shared" si="2"/>
        <v>0</v>
      </c>
      <c r="L15" s="539">
        <f t="shared" si="6"/>
        <v>0</v>
      </c>
      <c r="M15" s="539">
        <f t="shared" si="3"/>
        <v>0</v>
      </c>
      <c r="N15" s="539">
        <f t="shared" si="7"/>
        <v>0</v>
      </c>
      <c r="O15" s="539">
        <f t="shared" si="8"/>
        <v>0</v>
      </c>
      <c r="P15" s="538">
        <f t="shared" si="4"/>
        <v>9</v>
      </c>
      <c r="Q15" s="536">
        <v>36</v>
      </c>
      <c r="R15" s="536" t="s">
        <v>17</v>
      </c>
      <c r="S15" s="539"/>
      <c r="T15" s="539">
        <v>1.55</v>
      </c>
      <c r="U15" s="539">
        <v>2.0499999999999998</v>
      </c>
      <c r="V15" s="539">
        <f t="shared" si="5"/>
        <v>0</v>
      </c>
      <c r="W15" s="540">
        <v>1.0526310000000001</v>
      </c>
      <c r="X15" s="541">
        <f t="shared" si="0"/>
        <v>0</v>
      </c>
      <c r="Y15" s="539">
        <f t="shared" si="1"/>
        <v>0</v>
      </c>
      <c r="Z15" s="541">
        <f t="shared" si="2"/>
        <v>0</v>
      </c>
      <c r="AA15" s="539">
        <f t="shared" si="6"/>
        <v>0</v>
      </c>
      <c r="AB15" s="539">
        <f t="shared" si="3"/>
        <v>0</v>
      </c>
      <c r="AC15" s="539">
        <f t="shared" si="7"/>
        <v>0</v>
      </c>
      <c r="AD15" s="539">
        <f t="shared" si="8"/>
        <v>0</v>
      </c>
    </row>
    <row r="16" spans="1:30" ht="15" customHeight="1" thickBot="1">
      <c r="A16" s="542"/>
      <c r="B16" s="543"/>
      <c r="C16" s="536"/>
      <c r="D16" s="539"/>
      <c r="E16" s="539"/>
      <c r="F16" s="539"/>
      <c r="G16" s="539"/>
      <c r="H16" s="536"/>
      <c r="I16" s="541"/>
      <c r="J16" s="539"/>
      <c r="K16" s="541"/>
      <c r="L16" s="541"/>
      <c r="M16" s="539"/>
      <c r="N16" s="539"/>
      <c r="O16" s="539"/>
      <c r="P16" s="542"/>
      <c r="Q16" s="543"/>
      <c r="R16" s="536"/>
      <c r="S16" s="539"/>
      <c r="T16" s="539"/>
      <c r="U16" s="539"/>
      <c r="V16" s="539"/>
      <c r="W16" s="536"/>
      <c r="X16" s="541"/>
      <c r="Y16" s="539"/>
      <c r="Z16" s="541"/>
      <c r="AA16" s="541"/>
      <c r="AB16" s="539"/>
      <c r="AC16" s="539"/>
      <c r="AD16" s="539"/>
    </row>
    <row r="17" spans="1:30" ht="15.75" customHeight="1" thickTop="1" thickBot="1">
      <c r="A17" s="186"/>
      <c r="B17" s="186" t="s">
        <v>18</v>
      </c>
      <c r="C17" s="187"/>
      <c r="D17" s="188">
        <f>SUM(D7:D15)</f>
        <v>0</v>
      </c>
      <c r="E17" s="188"/>
      <c r="F17" s="188"/>
      <c r="G17" s="192"/>
      <c r="H17" s="192"/>
      <c r="I17" s="192"/>
      <c r="J17" s="188">
        <f t="shared" ref="J17:AD17" si="9">SUM(J7:J15)</f>
        <v>0</v>
      </c>
      <c r="K17" s="192">
        <f t="shared" si="9"/>
        <v>0</v>
      </c>
      <c r="L17" s="192">
        <f t="shared" si="9"/>
        <v>0</v>
      </c>
      <c r="M17" s="188">
        <f t="shared" si="9"/>
        <v>0</v>
      </c>
      <c r="N17" s="188">
        <f t="shared" si="9"/>
        <v>0</v>
      </c>
      <c r="O17" s="188">
        <f t="shared" si="9"/>
        <v>0</v>
      </c>
      <c r="P17" s="186"/>
      <c r="Q17" s="186" t="s">
        <v>18</v>
      </c>
      <c r="R17" s="187"/>
      <c r="S17" s="188">
        <f>SUM(S7:S15)</f>
        <v>105.11</v>
      </c>
      <c r="T17" s="188"/>
      <c r="U17" s="188"/>
      <c r="V17" s="192"/>
      <c r="W17" s="192"/>
      <c r="X17" s="192"/>
      <c r="Y17" s="188">
        <f t="shared" si="9"/>
        <v>102.48</v>
      </c>
      <c r="Z17" s="192">
        <f t="shared" si="9"/>
        <v>7.88</v>
      </c>
      <c r="AA17" s="192">
        <f t="shared" si="9"/>
        <v>91.19</v>
      </c>
      <c r="AB17" s="188">
        <f t="shared" si="9"/>
        <v>36.26</v>
      </c>
      <c r="AC17" s="188">
        <f t="shared" si="9"/>
        <v>57.38</v>
      </c>
      <c r="AD17" s="188">
        <f t="shared" si="9"/>
        <v>14.68</v>
      </c>
    </row>
    <row r="18" spans="1:30" ht="16.5" customHeight="1" thickTop="1">
      <c r="A18" s="181"/>
      <c r="B18" s="182"/>
      <c r="C18" s="182"/>
      <c r="D18" s="183"/>
      <c r="E18" s="183"/>
      <c r="F18" s="183"/>
      <c r="G18" s="184"/>
      <c r="H18" s="185"/>
      <c r="I18" s="185"/>
      <c r="J18" s="184"/>
      <c r="K18" s="185"/>
      <c r="L18" s="185"/>
      <c r="M18" s="185"/>
      <c r="N18" s="184"/>
      <c r="O18" s="184"/>
      <c r="P18" s="181"/>
      <c r="Q18" s="182"/>
      <c r="R18" s="182"/>
      <c r="S18" s="183"/>
      <c r="T18" s="183"/>
      <c r="U18" s="183"/>
      <c r="V18" s="184"/>
      <c r="W18" s="185"/>
      <c r="X18" s="185"/>
      <c r="Y18" s="184"/>
      <c r="Z18" s="185"/>
      <c r="AA18" s="185"/>
      <c r="AB18" s="185"/>
      <c r="AC18" s="184"/>
      <c r="AD18" s="184"/>
    </row>
    <row r="19" spans="1:30" ht="16.5" customHeight="1">
      <c r="A19" s="181"/>
      <c r="B19" s="182"/>
      <c r="C19" s="182"/>
      <c r="D19" s="183"/>
      <c r="E19" s="183"/>
      <c r="F19" s="183"/>
      <c r="G19" s="184"/>
      <c r="H19" s="185"/>
      <c r="I19" s="185"/>
      <c r="J19" s="184"/>
      <c r="K19" s="185"/>
      <c r="L19" s="185">
        <f>(J17-M17-K17)*1.2</f>
        <v>0</v>
      </c>
      <c r="M19" s="185"/>
      <c r="N19" s="184"/>
      <c r="O19" s="184"/>
      <c r="P19" s="181"/>
      <c r="Q19" s="182"/>
      <c r="R19" s="182"/>
      <c r="S19" s="183"/>
      <c r="T19" s="183"/>
      <c r="U19" s="183"/>
      <c r="V19" s="184"/>
      <c r="W19" s="185"/>
      <c r="X19" s="185"/>
      <c r="Y19" s="184"/>
      <c r="Z19" s="185"/>
      <c r="AA19" s="185">
        <f>(Y17-AB17-Z17)*1.2</f>
        <v>70.010000000000005</v>
      </c>
      <c r="AB19" s="185"/>
      <c r="AC19" s="184"/>
      <c r="AD19" s="184"/>
    </row>
    <row r="20" spans="1:30" ht="16.5" customHeight="1">
      <c r="A20" s="181"/>
      <c r="B20" s="193"/>
      <c r="C20" s="182"/>
      <c r="D20" s="183"/>
      <c r="E20" s="194"/>
      <c r="F20" s="183"/>
      <c r="G20" s="184"/>
      <c r="H20" s="185"/>
      <c r="I20" s="185"/>
      <c r="J20" s="184"/>
      <c r="K20" s="185"/>
      <c r="L20" s="185"/>
      <c r="M20" s="185"/>
      <c r="N20" s="184"/>
      <c r="O20" s="184"/>
      <c r="P20" s="181"/>
      <c r="Q20" s="193"/>
      <c r="R20" s="182"/>
      <c r="S20" s="183"/>
      <c r="T20" s="194"/>
      <c r="U20" s="183"/>
      <c r="V20" s="184"/>
      <c r="W20" s="185"/>
      <c r="X20" s="185"/>
      <c r="Y20" s="184"/>
      <c r="Z20" s="185"/>
      <c r="AA20" s="185"/>
      <c r="AB20" s="185"/>
      <c r="AC20" s="184"/>
      <c r="AD20" s="184"/>
    </row>
    <row r="21" spans="1:30" ht="16.5" customHeight="1">
      <c r="A21" s="195"/>
      <c r="B21" s="193"/>
      <c r="C21" s="182"/>
      <c r="D21" s="183"/>
      <c r="E21" s="196"/>
      <c r="F21" s="197"/>
      <c r="G21" s="184"/>
      <c r="H21" s="185"/>
      <c r="I21" s="185"/>
      <c r="J21" s="184"/>
      <c r="K21" s="185"/>
      <c r="L21" s="185"/>
      <c r="M21" s="185"/>
      <c r="N21" s="184"/>
      <c r="O21" s="184"/>
      <c r="P21" s="195"/>
      <c r="Q21" s="193"/>
      <c r="R21" s="182"/>
      <c r="S21" s="183"/>
      <c r="T21" s="196"/>
      <c r="U21" s="197"/>
      <c r="V21" s="184"/>
      <c r="W21" s="185"/>
      <c r="X21" s="185"/>
      <c r="Y21" s="184"/>
      <c r="Z21" s="185"/>
      <c r="AA21" s="185"/>
      <c r="AB21" s="185"/>
      <c r="AC21" s="184"/>
      <c r="AD21" s="184"/>
    </row>
    <row r="22" spans="1:30" ht="16.5" customHeight="1">
      <c r="A22" s="195"/>
      <c r="B22" s="193"/>
      <c r="C22" s="182"/>
      <c r="D22" s="183"/>
      <c r="E22" s="196"/>
      <c r="F22" s="197"/>
      <c r="G22" s="184"/>
      <c r="H22" s="185"/>
      <c r="I22" s="185"/>
      <c r="J22" s="184"/>
      <c r="K22" s="185"/>
      <c r="L22" s="185"/>
      <c r="M22" s="185"/>
      <c r="N22" s="184"/>
      <c r="O22" s="184"/>
      <c r="P22" s="195"/>
      <c r="Q22" s="193"/>
      <c r="R22" s="182"/>
      <c r="S22" s="183"/>
      <c r="T22" s="196"/>
      <c r="U22" s="197"/>
      <c r="V22" s="184"/>
      <c r="W22" s="185"/>
      <c r="X22" s="185"/>
      <c r="Y22" s="184"/>
      <c r="Z22" s="185"/>
      <c r="AA22" s="185"/>
      <c r="AB22" s="185"/>
      <c r="AC22" s="184"/>
      <c r="AD22" s="184"/>
    </row>
    <row r="23" spans="1:30" ht="16.5" customHeight="1" thickBot="1">
      <c r="A23" s="198"/>
      <c r="B23" s="193"/>
      <c r="C23" s="182"/>
      <c r="D23" s="183"/>
      <c r="E23" s="183"/>
      <c r="F23" s="183"/>
      <c r="G23" s="184"/>
      <c r="H23" s="185"/>
      <c r="I23" s="185"/>
      <c r="J23" s="184"/>
      <c r="K23" s="185"/>
      <c r="L23" s="185"/>
      <c r="M23" s="185"/>
      <c r="N23" s="184"/>
      <c r="O23" s="184"/>
      <c r="P23" s="198"/>
      <c r="Q23" s="193"/>
      <c r="R23" s="182"/>
      <c r="S23" s="183"/>
      <c r="T23" s="183"/>
      <c r="U23" s="183"/>
      <c r="V23" s="184"/>
      <c r="W23" s="185"/>
      <c r="X23" s="185"/>
      <c r="Y23" s="184"/>
      <c r="Z23" s="185"/>
      <c r="AA23" s="185"/>
      <c r="AB23" s="185"/>
      <c r="AC23" s="184"/>
      <c r="AD23" s="184"/>
    </row>
    <row r="24" spans="1:30" ht="16.5" customHeight="1" thickTop="1">
      <c r="A24" s="181"/>
      <c r="B24" s="193"/>
      <c r="C24" s="182"/>
      <c r="D24" s="183"/>
      <c r="E24" s="183"/>
      <c r="F24" s="183"/>
      <c r="G24" s="184"/>
      <c r="H24" s="185"/>
      <c r="I24" s="185"/>
      <c r="J24" s="510" t="s">
        <v>19</v>
      </c>
      <c r="K24" s="511"/>
      <c r="L24" s="511"/>
      <c r="M24" s="511"/>
      <c r="N24" s="511"/>
      <c r="O24" s="512"/>
      <c r="P24" s="181"/>
      <c r="Q24" s="193"/>
      <c r="R24" s="182"/>
      <c r="S24" s="183"/>
      <c r="T24" s="183"/>
      <c r="U24" s="183"/>
      <c r="V24" s="184"/>
      <c r="W24" s="185"/>
      <c r="X24" s="185"/>
      <c r="Y24" s="510" t="s">
        <v>19</v>
      </c>
      <c r="Z24" s="511"/>
      <c r="AA24" s="511"/>
      <c r="AB24" s="511"/>
      <c r="AC24" s="511"/>
      <c r="AD24" s="512"/>
    </row>
    <row r="25" spans="1:30" ht="16.5" customHeight="1" thickBot="1">
      <c r="A25" s="181"/>
      <c r="B25" s="182"/>
      <c r="C25" s="182"/>
      <c r="D25" s="183"/>
      <c r="E25" s="183"/>
      <c r="F25" s="183"/>
      <c r="G25" s="184"/>
      <c r="H25" s="185"/>
      <c r="I25" s="185"/>
      <c r="J25" s="184"/>
      <c r="K25" s="185"/>
      <c r="L25" s="185"/>
      <c r="M25" s="185"/>
      <c r="N25" s="184"/>
      <c r="O25" s="184"/>
      <c r="P25" s="181"/>
      <c r="Q25" s="182"/>
      <c r="R25" s="182"/>
      <c r="S25" s="183"/>
      <c r="T25" s="183"/>
      <c r="U25" s="183"/>
      <c r="V25" s="184"/>
      <c r="W25" s="185"/>
      <c r="X25" s="185"/>
      <c r="Y25" s="184"/>
      <c r="Z25" s="185"/>
      <c r="AA25" s="185"/>
      <c r="AB25" s="185"/>
      <c r="AC25" s="184"/>
      <c r="AD25" s="184"/>
    </row>
    <row r="26" spans="1:30" ht="16.5" customHeight="1" thickTop="1" thickBot="1">
      <c r="A26" s="199"/>
      <c r="B26" s="185"/>
      <c r="C26" s="513" t="s">
        <v>20</v>
      </c>
      <c r="D26" s="514"/>
      <c r="E26" s="515"/>
      <c r="F26" s="183"/>
      <c r="G26" s="184"/>
      <c r="H26" s="185"/>
      <c r="I26" s="200" t="s">
        <v>21</v>
      </c>
      <c r="J26" s="201" t="s">
        <v>11</v>
      </c>
      <c r="K26" s="202" t="s">
        <v>12</v>
      </c>
      <c r="L26" s="203" t="s">
        <v>13</v>
      </c>
      <c r="M26" s="204" t="s">
        <v>14</v>
      </c>
      <c r="N26" s="191" t="s">
        <v>15</v>
      </c>
      <c r="O26" s="191" t="s">
        <v>16</v>
      </c>
      <c r="P26" s="191" t="s">
        <v>22</v>
      </c>
      <c r="Q26" s="185"/>
      <c r="R26" s="513" t="s">
        <v>20</v>
      </c>
      <c r="S26" s="514"/>
      <c r="T26" s="515"/>
      <c r="U26" s="183"/>
      <c r="V26" s="184"/>
      <c r="W26" s="185"/>
      <c r="X26" s="200" t="s">
        <v>21</v>
      </c>
      <c r="Y26" s="201" t="s">
        <v>11</v>
      </c>
      <c r="Z26" s="202" t="s">
        <v>12</v>
      </c>
      <c r="AA26" s="203" t="s">
        <v>13</v>
      </c>
      <c r="AB26" s="204" t="s">
        <v>14</v>
      </c>
      <c r="AC26" s="191" t="s">
        <v>15</v>
      </c>
      <c r="AD26" s="191" t="s">
        <v>16</v>
      </c>
    </row>
    <row r="27" spans="1:30" ht="16.5" customHeight="1" thickTop="1" thickBot="1">
      <c r="A27" s="181"/>
      <c r="B27" s="185"/>
      <c r="C27" s="185"/>
      <c r="D27" s="205">
        <f>+D17</f>
        <v>0</v>
      </c>
      <c r="E27" s="184"/>
      <c r="F27" s="183"/>
      <c r="G27" s="184"/>
      <c r="H27" s="185"/>
      <c r="I27" s="201"/>
      <c r="J27" s="206">
        <f t="shared" ref="J27:AD27" si="10">+J17</f>
        <v>0</v>
      </c>
      <c r="K27" s="207">
        <f t="shared" si="10"/>
        <v>0</v>
      </c>
      <c r="L27" s="208">
        <f t="shared" si="10"/>
        <v>0</v>
      </c>
      <c r="M27" s="207">
        <f t="shared" si="10"/>
        <v>0</v>
      </c>
      <c r="N27" s="208">
        <f>+J27-L27</f>
        <v>0</v>
      </c>
      <c r="O27" s="204">
        <f t="shared" si="10"/>
        <v>0</v>
      </c>
      <c r="P27" s="204">
        <f>+D10*E10*0.5</f>
        <v>0</v>
      </c>
      <c r="Q27" s="185"/>
      <c r="R27" s="185"/>
      <c r="S27" s="205">
        <f>+S17</f>
        <v>105.11</v>
      </c>
      <c r="T27" s="184"/>
      <c r="U27" s="183"/>
      <c r="V27" s="184"/>
      <c r="W27" s="185"/>
      <c r="X27" s="201"/>
      <c r="Y27" s="206">
        <f t="shared" si="10"/>
        <v>102.48</v>
      </c>
      <c r="Z27" s="207">
        <f t="shared" si="10"/>
        <v>7.88</v>
      </c>
      <c r="AA27" s="208">
        <f t="shared" si="10"/>
        <v>91.19</v>
      </c>
      <c r="AB27" s="207">
        <f t="shared" si="10"/>
        <v>36.26</v>
      </c>
      <c r="AC27" s="208">
        <f t="shared" si="10"/>
        <v>57.38</v>
      </c>
      <c r="AD27" s="204">
        <f t="shared" si="10"/>
        <v>14.68</v>
      </c>
    </row>
    <row r="28" spans="1:30" ht="16.5" customHeight="1" thickTop="1" thickBot="1">
      <c r="A28" s="181"/>
      <c r="B28" s="185"/>
      <c r="C28" s="185"/>
      <c r="D28" s="209"/>
      <c r="E28" s="184"/>
      <c r="F28" s="183"/>
      <c r="G28" s="184"/>
      <c r="H28" s="185"/>
      <c r="I28" s="210"/>
      <c r="J28" s="211"/>
      <c r="K28" s="209"/>
      <c r="L28" s="209"/>
      <c r="M28" s="209"/>
      <c r="N28" s="209"/>
      <c r="O28" s="209"/>
      <c r="P28" s="181"/>
      <c r="Q28" s="185"/>
      <c r="R28" s="185"/>
      <c r="S28" s="209"/>
      <c r="T28" s="184"/>
      <c r="U28" s="183"/>
      <c r="V28" s="184"/>
      <c r="W28" s="185"/>
      <c r="X28" s="210"/>
      <c r="Y28" s="211"/>
      <c r="Z28" s="209"/>
      <c r="AA28" s="209"/>
      <c r="AB28" s="209"/>
      <c r="AC28" s="209"/>
      <c r="AD28" s="209"/>
    </row>
    <row r="29" spans="1:30" ht="16.5" customHeight="1" thickTop="1" thickBot="1">
      <c r="A29" s="91"/>
      <c r="B29" s="61"/>
      <c r="C29" s="92"/>
      <c r="D29" s="93"/>
      <c r="E29" s="92"/>
      <c r="F29" s="61"/>
      <c r="G29" s="61"/>
      <c r="H29" s="212"/>
      <c r="I29" s="206">
        <v>90</v>
      </c>
      <c r="J29" s="206">
        <f>J27*I29%</f>
        <v>0</v>
      </c>
      <c r="K29" s="212"/>
      <c r="L29" s="61"/>
      <c r="M29" s="61"/>
      <c r="N29" s="61"/>
      <c r="O29" s="61"/>
      <c r="P29" s="91"/>
      <c r="Q29" s="61"/>
      <c r="R29" s="92"/>
      <c r="S29" s="93"/>
      <c r="T29" s="92"/>
      <c r="U29" s="61"/>
      <c r="V29" s="61"/>
      <c r="W29" s="212"/>
      <c r="X29" s="206">
        <v>90</v>
      </c>
      <c r="Y29" s="206">
        <f>Y27*X29%</f>
        <v>92.23</v>
      </c>
      <c r="Z29" s="212"/>
      <c r="AA29" s="61"/>
      <c r="AB29" s="61"/>
      <c r="AC29" s="61"/>
      <c r="AD29" s="61"/>
    </row>
    <row r="30" spans="1:30" ht="16.5" customHeight="1" thickTop="1" thickBot="1">
      <c r="A30" s="91"/>
      <c r="B30" s="61"/>
      <c r="C30" s="92"/>
      <c r="D30" s="93"/>
      <c r="E30" s="92"/>
      <c r="F30" s="61"/>
      <c r="G30" s="61"/>
      <c r="H30" s="212"/>
      <c r="I30" s="206">
        <v>80</v>
      </c>
      <c r="J30" s="206">
        <f>J27*I30%</f>
        <v>0</v>
      </c>
      <c r="K30" s="212"/>
      <c r="L30" s="61"/>
      <c r="M30" s="61"/>
      <c r="N30" s="61"/>
      <c r="O30" s="61"/>
      <c r="P30" s="91"/>
      <c r="Q30" s="61"/>
      <c r="R30" s="92"/>
      <c r="S30" s="93"/>
      <c r="T30" s="92"/>
      <c r="U30" s="61"/>
      <c r="V30" s="61"/>
      <c r="W30" s="212"/>
      <c r="X30" s="206">
        <v>80</v>
      </c>
      <c r="Y30" s="206">
        <f>Y27*X30%</f>
        <v>81.98</v>
      </c>
      <c r="Z30" s="212"/>
      <c r="AA30" s="61"/>
      <c r="AB30" s="61"/>
      <c r="AC30" s="61"/>
      <c r="AD30" s="61"/>
    </row>
    <row r="31" spans="1:30" ht="16.5" customHeight="1" thickTop="1" thickBot="1">
      <c r="A31" s="91"/>
      <c r="B31" s="61"/>
      <c r="C31" s="92"/>
      <c r="D31" s="93"/>
      <c r="E31" s="92"/>
      <c r="F31" s="61"/>
      <c r="G31" s="61"/>
      <c r="H31" s="212"/>
      <c r="I31" s="206">
        <v>70</v>
      </c>
      <c r="J31" s="206">
        <f>J27*I31%</f>
        <v>0</v>
      </c>
      <c r="K31" s="212"/>
      <c r="L31" s="61"/>
      <c r="M31" s="61"/>
      <c r="N31" s="61"/>
      <c r="O31" s="61"/>
      <c r="P31" s="91"/>
      <c r="Q31" s="61"/>
      <c r="R31" s="92"/>
      <c r="S31" s="93"/>
      <c r="T31" s="92"/>
      <c r="U31" s="61"/>
      <c r="V31" s="61"/>
      <c r="W31" s="212"/>
      <c r="X31" s="206">
        <v>70</v>
      </c>
      <c r="Y31" s="206">
        <f>Y27*X31%</f>
        <v>71.739999999999995</v>
      </c>
      <c r="Z31" s="212"/>
      <c r="AA31" s="61"/>
      <c r="AB31" s="61"/>
      <c r="AC31" s="61"/>
      <c r="AD31" s="61"/>
    </row>
    <row r="32" spans="1:30" ht="16.5" customHeight="1" thickTop="1" thickBot="1">
      <c r="A32" s="91"/>
      <c r="B32" s="61"/>
      <c r="C32" s="92"/>
      <c r="D32" s="93"/>
      <c r="E32" s="92"/>
      <c r="F32" s="61"/>
      <c r="G32" s="61"/>
      <c r="H32" s="212"/>
      <c r="I32" s="206">
        <v>60</v>
      </c>
      <c r="J32" s="206">
        <f>J27*I32%</f>
        <v>0</v>
      </c>
      <c r="K32" s="212"/>
      <c r="L32" s="61"/>
      <c r="M32" s="61"/>
      <c r="N32" s="61"/>
      <c r="O32" s="61"/>
      <c r="P32" s="91"/>
      <c r="Q32" s="61"/>
      <c r="R32" s="92"/>
      <c r="S32" s="93"/>
      <c r="T32" s="92"/>
      <c r="U32" s="61"/>
      <c r="V32" s="61"/>
      <c r="W32" s="212"/>
      <c r="X32" s="206">
        <v>60</v>
      </c>
      <c r="Y32" s="206">
        <f>Y27*X32%</f>
        <v>61.49</v>
      </c>
      <c r="Z32" s="212"/>
      <c r="AA32" s="61"/>
      <c r="AB32" s="61"/>
      <c r="AC32" s="61"/>
      <c r="AD32" s="61"/>
    </row>
    <row r="33" spans="1:30" ht="16.5" customHeight="1" thickTop="1" thickBot="1">
      <c r="A33" s="91"/>
      <c r="B33" s="61"/>
      <c r="C33" s="92"/>
      <c r="D33" s="93"/>
      <c r="E33" s="92"/>
      <c r="F33" s="61"/>
      <c r="G33" s="61"/>
      <c r="H33" s="212"/>
      <c r="I33" s="206">
        <v>50</v>
      </c>
      <c r="J33" s="206">
        <f>J27*I33%</f>
        <v>0</v>
      </c>
      <c r="K33" s="212"/>
      <c r="L33" s="61"/>
      <c r="M33" s="61"/>
      <c r="N33" s="61"/>
      <c r="O33" s="61"/>
      <c r="P33" s="91"/>
      <c r="Q33" s="61"/>
      <c r="R33" s="92"/>
      <c r="S33" s="93"/>
      <c r="T33" s="92"/>
      <c r="U33" s="61"/>
      <c r="V33" s="61"/>
      <c r="W33" s="212"/>
      <c r="X33" s="206">
        <v>50</v>
      </c>
      <c r="Y33" s="206">
        <f>Y27*X33%</f>
        <v>51.24</v>
      </c>
      <c r="Z33" s="212"/>
      <c r="AA33" s="61"/>
      <c r="AB33" s="61"/>
      <c r="AC33" s="61"/>
      <c r="AD33" s="61"/>
    </row>
    <row r="34" spans="1:30" ht="16.5" customHeight="1" thickTop="1" thickBot="1">
      <c r="A34" s="91"/>
      <c r="B34" s="61"/>
      <c r="C34" s="92"/>
      <c r="D34" s="93"/>
      <c r="E34" s="92"/>
      <c r="F34" s="61"/>
      <c r="G34" s="61"/>
      <c r="H34" s="212"/>
      <c r="I34" s="206">
        <v>40</v>
      </c>
      <c r="J34" s="206">
        <f>J27*I34%</f>
        <v>0</v>
      </c>
      <c r="K34" s="212"/>
      <c r="L34" s="61"/>
      <c r="M34" s="61"/>
      <c r="N34" s="61"/>
      <c r="O34" s="61"/>
      <c r="P34" s="91"/>
      <c r="Q34" s="61"/>
      <c r="R34" s="92"/>
      <c r="S34" s="93"/>
      <c r="T34" s="92"/>
      <c r="U34" s="61"/>
      <c r="V34" s="61"/>
      <c r="W34" s="212"/>
      <c r="X34" s="206">
        <v>40</v>
      </c>
      <c r="Y34" s="206">
        <f>Y27*X34%</f>
        <v>40.99</v>
      </c>
      <c r="Z34" s="212"/>
      <c r="AA34" s="61"/>
      <c r="AB34" s="61"/>
      <c r="AC34" s="61"/>
      <c r="AD34" s="61"/>
    </row>
    <row r="35" spans="1:30" ht="16.5" customHeight="1" thickTop="1" thickBot="1">
      <c r="A35" s="91"/>
      <c r="B35" s="61"/>
      <c r="C35" s="92"/>
      <c r="D35" s="93"/>
      <c r="E35" s="92"/>
      <c r="F35" s="61"/>
      <c r="G35" s="61"/>
      <c r="H35" s="212"/>
      <c r="I35" s="206">
        <v>30</v>
      </c>
      <c r="J35" s="206">
        <f>J27*I35%</f>
        <v>0</v>
      </c>
      <c r="K35" s="212"/>
      <c r="L35" s="61"/>
      <c r="M35" s="61"/>
      <c r="N35" s="61"/>
      <c r="O35" s="61"/>
      <c r="P35" s="91"/>
      <c r="Q35" s="61"/>
      <c r="R35" s="92"/>
      <c r="S35" s="93"/>
      <c r="T35" s="92"/>
      <c r="U35" s="61"/>
      <c r="V35" s="61"/>
      <c r="W35" s="212"/>
      <c r="X35" s="206">
        <v>30</v>
      </c>
      <c r="Y35" s="206">
        <f>Y27*X35%</f>
        <v>30.74</v>
      </c>
      <c r="Z35" s="212"/>
      <c r="AA35" s="61"/>
      <c r="AB35" s="61"/>
      <c r="AC35" s="61"/>
      <c r="AD35" s="61"/>
    </row>
    <row r="36" spans="1:30" ht="16.5" customHeight="1" thickTop="1" thickBot="1">
      <c r="A36" s="91"/>
      <c r="B36" s="61"/>
      <c r="C36" s="92"/>
      <c r="D36" s="93"/>
      <c r="E36" s="92"/>
      <c r="F36" s="61"/>
      <c r="G36" s="61"/>
      <c r="H36" s="212"/>
      <c r="I36" s="206">
        <v>20</v>
      </c>
      <c r="J36" s="206">
        <f>J27*I36%</f>
        <v>0</v>
      </c>
      <c r="K36" s="212"/>
      <c r="L36" s="61"/>
      <c r="M36" s="61"/>
      <c r="N36" s="61"/>
      <c r="O36" s="61"/>
      <c r="P36" s="91"/>
      <c r="Q36" s="61"/>
      <c r="R36" s="92"/>
      <c r="S36" s="93"/>
      <c r="T36" s="92"/>
      <c r="U36" s="61"/>
      <c r="V36" s="61"/>
      <c r="W36" s="212"/>
      <c r="X36" s="206">
        <v>20</v>
      </c>
      <c r="Y36" s="206">
        <f>Y27*X36%</f>
        <v>20.5</v>
      </c>
      <c r="Z36" s="212"/>
      <c r="AA36" s="61"/>
      <c r="AB36" s="61"/>
      <c r="AC36" s="61"/>
      <c r="AD36" s="61"/>
    </row>
    <row r="37" spans="1:30" ht="16.5" customHeight="1" thickTop="1" thickBot="1">
      <c r="A37" s="91"/>
      <c r="B37" s="61"/>
      <c r="C37" s="92"/>
      <c r="D37" s="93"/>
      <c r="E37" s="92"/>
      <c r="F37" s="61"/>
      <c r="G37" s="61"/>
      <c r="H37" s="212"/>
      <c r="I37" s="206">
        <v>10</v>
      </c>
      <c r="J37" s="206">
        <f>J27*I37%</f>
        <v>0</v>
      </c>
      <c r="K37" s="212"/>
      <c r="L37" s="61"/>
      <c r="M37" s="61"/>
      <c r="N37" s="61"/>
      <c r="O37" s="61"/>
      <c r="P37" s="91"/>
      <c r="Q37" s="61"/>
      <c r="R37" s="92"/>
      <c r="S37" s="93"/>
      <c r="T37" s="92"/>
      <c r="U37" s="61"/>
      <c r="V37" s="61"/>
      <c r="W37" s="212"/>
      <c r="X37" s="206">
        <v>10</v>
      </c>
      <c r="Y37" s="206">
        <f>Y27*X37%</f>
        <v>10.25</v>
      </c>
      <c r="Z37" s="212"/>
      <c r="AA37" s="61"/>
      <c r="AB37" s="61"/>
      <c r="AC37" s="61"/>
      <c r="AD37" s="61"/>
    </row>
    <row r="38" spans="1:30" ht="16.5" customHeight="1" thickTop="1">
      <c r="A38" s="516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6.5" customHeight="1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6.5" customHeight="1">
      <c r="A40" s="544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ht="16.5" customHeight="1">
      <c r="A41" s="545"/>
      <c r="B41" s="546"/>
      <c r="C41" s="546"/>
      <c r="D41" s="546"/>
      <c r="E41" s="546"/>
      <c r="F41" s="546"/>
      <c r="G41" s="546"/>
      <c r="H41" s="547"/>
      <c r="I41" s="548"/>
      <c r="J41" s="548"/>
      <c r="K41" s="548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6.5" customHeight="1">
      <c r="A42" s="549"/>
      <c r="B42" s="54"/>
      <c r="C42" s="550"/>
      <c r="D42" s="546"/>
      <c r="E42" s="550"/>
      <c r="F42" s="54"/>
      <c r="G42" s="54"/>
      <c r="H42" s="547"/>
      <c r="I42" s="548"/>
      <c r="J42" s="548"/>
      <c r="K42" s="548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ht="16.5" customHeight="1">
      <c r="A43" s="549"/>
      <c r="B43" s="54"/>
      <c r="C43" s="550"/>
      <c r="D43" s="546"/>
      <c r="E43" s="550"/>
      <c r="F43" s="54"/>
      <c r="G43" s="54"/>
      <c r="H43" s="547"/>
      <c r="I43" s="548"/>
      <c r="J43" s="548"/>
      <c r="K43" s="548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ht="16.5" customHeight="1">
      <c r="A44" s="549"/>
      <c r="B44" s="54"/>
      <c r="C44" s="550"/>
      <c r="D44" s="546"/>
      <c r="E44" s="550"/>
      <c r="F44" s="54"/>
      <c r="G44" s="54"/>
      <c r="H44" s="547"/>
      <c r="I44" s="548"/>
      <c r="J44" s="548"/>
      <c r="K44" s="548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ht="16.5" customHeight="1">
      <c r="A45" s="549"/>
      <c r="B45" s="54"/>
      <c r="C45" s="550"/>
      <c r="D45" s="546"/>
      <c r="E45" s="550"/>
      <c r="F45" s="54"/>
      <c r="G45" s="54"/>
      <c r="H45" s="547"/>
      <c r="I45" s="548"/>
      <c r="J45" s="548"/>
      <c r="K45" s="548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ht="16.5" customHeight="1">
      <c r="A46" s="549"/>
      <c r="B46" s="54"/>
      <c r="C46" s="550"/>
      <c r="D46" s="546"/>
      <c r="E46" s="550"/>
      <c r="F46" s="54"/>
      <c r="G46" s="54"/>
      <c r="H46" s="547"/>
      <c r="I46" s="548"/>
      <c r="J46" s="548"/>
      <c r="K46" s="548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18.75" customHeight="1">
      <c r="A47" s="549"/>
      <c r="B47" s="54"/>
      <c r="C47" s="550"/>
      <c r="D47" s="546"/>
      <c r="E47" s="550"/>
      <c r="F47" s="54"/>
      <c r="G47" s="54"/>
      <c r="H47" s="547"/>
      <c r="I47" s="548"/>
      <c r="J47" s="548"/>
      <c r="K47" s="548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 ht="18.75" customHeight="1">
      <c r="A48" s="500" t="s">
        <v>0</v>
      </c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"/>
      <c r="S48" s="4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s="54" customFormat="1" ht="18.75" customHeight="1">
      <c r="A49" s="500" t="s">
        <v>23</v>
      </c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"/>
      <c r="S49" s="43"/>
    </row>
    <row r="50" spans="1:30" ht="18.75" customHeight="1" thickBot="1">
      <c r="A50" s="44"/>
      <c r="B50" s="45"/>
      <c r="C50" s="45"/>
      <c r="D50" s="43"/>
      <c r="E50" s="43"/>
      <c r="F50" s="43"/>
      <c r="G50" s="43"/>
      <c r="H50" s="45"/>
      <c r="I50" s="45"/>
      <c r="J50" s="46"/>
      <c r="K50" s="45"/>
      <c r="L50" s="45"/>
      <c r="M50" s="45"/>
      <c r="N50" s="43"/>
      <c r="O50" s="43"/>
      <c r="P50" s="43"/>
      <c r="Q50" s="43"/>
      <c r="R50" s="43"/>
      <c r="S50" s="4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27.75" customHeight="1" thickTop="1" thickBot="1">
      <c r="A51" s="35" t="s">
        <v>24</v>
      </c>
      <c r="B51" s="6" t="s">
        <v>3</v>
      </c>
      <c r="C51" s="7" t="s">
        <v>4</v>
      </c>
      <c r="D51" s="8" t="s">
        <v>5</v>
      </c>
      <c r="E51" s="8" t="s">
        <v>25</v>
      </c>
      <c r="F51" s="8" t="s">
        <v>26</v>
      </c>
      <c r="G51" s="8" t="s">
        <v>27</v>
      </c>
      <c r="H51" s="7" t="s">
        <v>28</v>
      </c>
      <c r="I51" s="7" t="s">
        <v>29</v>
      </c>
      <c r="J51" s="40" t="s">
        <v>30</v>
      </c>
      <c r="K51" s="7" t="s">
        <v>31</v>
      </c>
      <c r="L51" s="7" t="s">
        <v>6</v>
      </c>
      <c r="M51" s="551" t="s">
        <v>11</v>
      </c>
      <c r="N51" s="552" t="s">
        <v>12</v>
      </c>
      <c r="O51" s="552" t="s">
        <v>32</v>
      </c>
      <c r="P51" s="553" t="s">
        <v>33</v>
      </c>
      <c r="Q51" s="554" t="s">
        <v>34</v>
      </c>
      <c r="R51" s="554" t="s">
        <v>35</v>
      </c>
      <c r="S51" s="554" t="s">
        <v>36</v>
      </c>
      <c r="T51" s="554" t="s">
        <v>37</v>
      </c>
      <c r="U51" s="554" t="s">
        <v>38</v>
      </c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30" customHeight="1" thickTop="1">
      <c r="A52" s="555"/>
      <c r="B52" s="377"/>
      <c r="C52" s="377"/>
      <c r="D52" s="556"/>
      <c r="E52" s="556"/>
      <c r="F52" s="556"/>
      <c r="G52" s="556"/>
      <c r="H52" s="377"/>
      <c r="I52" s="377"/>
      <c r="J52" s="557"/>
      <c r="K52" s="377"/>
      <c r="L52" s="377"/>
      <c r="M52" s="377"/>
      <c r="N52" s="556"/>
      <c r="O52" s="556"/>
      <c r="P52" s="556"/>
      <c r="Q52" s="556"/>
      <c r="R52" s="556"/>
      <c r="S52" s="556"/>
      <c r="T52" s="556"/>
      <c r="U52" s="556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30" customHeight="1">
      <c r="A53" s="376" t="s">
        <v>39</v>
      </c>
      <c r="B53" s="377">
        <v>48</v>
      </c>
      <c r="C53" s="377" t="s">
        <v>40</v>
      </c>
      <c r="D53" s="378"/>
      <c r="E53" s="378">
        <v>34.1</v>
      </c>
      <c r="F53" s="378">
        <v>32.200000000000003</v>
      </c>
      <c r="G53" s="378">
        <v>34.1</v>
      </c>
      <c r="H53" s="378">
        <v>31.63</v>
      </c>
      <c r="I53" s="379">
        <f>+(E53-F53)</f>
        <v>1.9</v>
      </c>
      <c r="J53" s="380">
        <f t="shared" ref="J53:J98" si="11">+(G53-H53)</f>
        <v>2.4700000000000002</v>
      </c>
      <c r="K53" s="381">
        <f t="shared" ref="K53:K98" si="12">+((I53+J53)/2)+0.1+1</f>
        <v>3.29</v>
      </c>
      <c r="L53" s="382">
        <v>6</v>
      </c>
      <c r="M53" s="379">
        <f>(L53*K53*D53)</f>
        <v>0</v>
      </c>
      <c r="N53" s="378">
        <f t="shared" ref="N53:N104" si="13">(L53*D53*0.1)</f>
        <v>0</v>
      </c>
      <c r="O53" s="378">
        <f>((((B53*2.54)/100)*((B53*2.54)/100)*3.14)/4)*D53</f>
        <v>0</v>
      </c>
      <c r="P53" s="383">
        <f>+M53-(N53+O53)</f>
        <v>0</v>
      </c>
      <c r="Q53" s="378">
        <f>(L53*D53*((B53*2.54/100)+0.3)-O53)*1.2</f>
        <v>0</v>
      </c>
      <c r="R53" s="378"/>
      <c r="S53" s="378">
        <f t="shared" ref="S53:S98" si="14">+(N53+O53+Q53/1.2)*1.3</f>
        <v>0</v>
      </c>
      <c r="T53" s="378">
        <v>0.5</v>
      </c>
      <c r="U53" s="378">
        <f>+D53*L53*T53</f>
        <v>0</v>
      </c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ht="30" customHeight="1">
      <c r="A54" s="376" t="s">
        <v>41</v>
      </c>
      <c r="B54" s="377">
        <v>48</v>
      </c>
      <c r="C54" s="377" t="s">
        <v>40</v>
      </c>
      <c r="D54" s="378"/>
      <c r="E54" s="378">
        <v>34.1</v>
      </c>
      <c r="F54" s="378">
        <v>31.63</v>
      </c>
      <c r="G54" s="378">
        <v>33.450000000000003</v>
      </c>
      <c r="H54" s="377">
        <v>31.51</v>
      </c>
      <c r="I54" s="379">
        <f>+(E54-F54)</f>
        <v>2.4700000000000002</v>
      </c>
      <c r="J54" s="380">
        <f t="shared" si="11"/>
        <v>1.94</v>
      </c>
      <c r="K54" s="381">
        <f t="shared" si="12"/>
        <v>3.31</v>
      </c>
      <c r="L54" s="382">
        <v>6</v>
      </c>
      <c r="M54" s="379">
        <f t="shared" ref="M54:M98" si="15">(L54*K54*D54)</f>
        <v>0</v>
      </c>
      <c r="N54" s="378">
        <f t="shared" si="13"/>
        <v>0</v>
      </c>
      <c r="O54" s="378">
        <f>((((B54*2.54)/100)*((B54*2.54)/100)*3.14)/4)*D54</f>
        <v>0</v>
      </c>
      <c r="P54" s="383">
        <f>+M54-(N54+O54)</f>
        <v>0</v>
      </c>
      <c r="Q54" s="378">
        <f>(L54*D54*((B54*2.54/100)+0.3)-O54)*1.2</f>
        <v>0</v>
      </c>
      <c r="R54" s="378"/>
      <c r="S54" s="378">
        <f t="shared" si="14"/>
        <v>0</v>
      </c>
      <c r="T54" s="378">
        <v>0.5</v>
      </c>
      <c r="U54" s="378">
        <f>+D54*L54*T54</f>
        <v>0</v>
      </c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30" customHeight="1">
      <c r="A55" s="376" t="s">
        <v>42</v>
      </c>
      <c r="B55" s="377">
        <v>48</v>
      </c>
      <c r="C55" s="377" t="s">
        <v>40</v>
      </c>
      <c r="D55" s="378"/>
      <c r="E55" s="378">
        <v>33.450000000000003</v>
      </c>
      <c r="F55" s="378">
        <v>31.49</v>
      </c>
      <c r="G55" s="378">
        <v>32.020000000000003</v>
      </c>
      <c r="H55" s="377">
        <v>31.08</v>
      </c>
      <c r="I55" s="379">
        <f t="shared" ref="I55" si="16">+(E55-F55)</f>
        <v>1.96</v>
      </c>
      <c r="J55" s="380">
        <f t="shared" si="11"/>
        <v>0.94</v>
      </c>
      <c r="K55" s="381">
        <f t="shared" si="12"/>
        <v>2.5499999999999998</v>
      </c>
      <c r="L55" s="382">
        <v>6</v>
      </c>
      <c r="M55" s="379">
        <f t="shared" si="15"/>
        <v>0</v>
      </c>
      <c r="N55" s="378">
        <f t="shared" si="13"/>
        <v>0</v>
      </c>
      <c r="O55" s="378">
        <f t="shared" ref="O55:O98" si="17">((((B55*2.54)/100)*((B55*2.54)/100)*3.14)/4)*D55</f>
        <v>0</v>
      </c>
      <c r="P55" s="383">
        <f t="shared" ref="P55:P98" si="18">+M55-(N55+O55)</f>
        <v>0</v>
      </c>
      <c r="Q55" s="378">
        <f t="shared" ref="Q55:Q98" si="19">(L55*D55*((B55*2.54/100)+0.3)-O55)*1.2</f>
        <v>0</v>
      </c>
      <c r="R55" s="378"/>
      <c r="S55" s="378">
        <f t="shared" si="14"/>
        <v>0</v>
      </c>
      <c r="T55" s="378">
        <v>0.5</v>
      </c>
      <c r="U55" s="378">
        <f>+D55*L55*T55</f>
        <v>0</v>
      </c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30" customHeight="1">
      <c r="A56" s="376" t="s">
        <v>43</v>
      </c>
      <c r="B56" s="377">
        <v>48</v>
      </c>
      <c r="C56" s="377" t="s">
        <v>40</v>
      </c>
      <c r="D56" s="378"/>
      <c r="E56" s="378">
        <v>32.020000000000003</v>
      </c>
      <c r="F56" s="378">
        <v>31.06</v>
      </c>
      <c r="G56" s="378">
        <v>32.35</v>
      </c>
      <c r="H56" s="377">
        <v>30.41</v>
      </c>
      <c r="I56" s="379">
        <f>+(E56-F56)</f>
        <v>0.96</v>
      </c>
      <c r="J56" s="380">
        <f t="shared" si="11"/>
        <v>1.94</v>
      </c>
      <c r="K56" s="381">
        <f t="shared" si="12"/>
        <v>2.5499999999999998</v>
      </c>
      <c r="L56" s="382">
        <v>6</v>
      </c>
      <c r="M56" s="379">
        <f t="shared" si="15"/>
        <v>0</v>
      </c>
      <c r="N56" s="378">
        <f t="shared" si="13"/>
        <v>0</v>
      </c>
      <c r="O56" s="378">
        <f t="shared" si="17"/>
        <v>0</v>
      </c>
      <c r="P56" s="383">
        <f t="shared" si="18"/>
        <v>0</v>
      </c>
      <c r="Q56" s="378">
        <f t="shared" si="19"/>
        <v>0</v>
      </c>
      <c r="R56" s="378"/>
      <c r="S56" s="378">
        <f t="shared" si="14"/>
        <v>0</v>
      </c>
      <c r="T56" s="378">
        <v>0.5</v>
      </c>
      <c r="U56" s="378">
        <f t="shared" ref="U56:U98" si="20">+D56*L56*T56</f>
        <v>0</v>
      </c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30" customHeight="1">
      <c r="A57" s="376" t="s">
        <v>44</v>
      </c>
      <c r="B57" s="377">
        <v>48</v>
      </c>
      <c r="C57" s="377" t="s">
        <v>40</v>
      </c>
      <c r="D57" s="378"/>
      <c r="E57" s="378">
        <v>32.35</v>
      </c>
      <c r="F57" s="378">
        <v>30.33</v>
      </c>
      <c r="G57" s="378">
        <v>32.26</v>
      </c>
      <c r="H57" s="377">
        <v>30.33</v>
      </c>
      <c r="I57" s="379">
        <f t="shared" ref="I57:I98" si="21">+(E57-F57)</f>
        <v>2.02</v>
      </c>
      <c r="J57" s="380">
        <f t="shared" si="11"/>
        <v>1.93</v>
      </c>
      <c r="K57" s="381">
        <f t="shared" si="12"/>
        <v>3.08</v>
      </c>
      <c r="L57" s="382">
        <v>6</v>
      </c>
      <c r="M57" s="379">
        <f t="shared" si="15"/>
        <v>0</v>
      </c>
      <c r="N57" s="378">
        <f t="shared" si="13"/>
        <v>0</v>
      </c>
      <c r="O57" s="378">
        <f t="shared" si="17"/>
        <v>0</v>
      </c>
      <c r="P57" s="383">
        <f t="shared" si="18"/>
        <v>0</v>
      </c>
      <c r="Q57" s="378">
        <f t="shared" si="19"/>
        <v>0</v>
      </c>
      <c r="R57" s="378"/>
      <c r="S57" s="378">
        <f t="shared" si="14"/>
        <v>0</v>
      </c>
      <c r="T57" s="378">
        <v>0.5</v>
      </c>
      <c r="U57" s="378">
        <f t="shared" si="20"/>
        <v>0</v>
      </c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25.5" customHeight="1">
      <c r="A58" s="376" t="s">
        <v>45</v>
      </c>
      <c r="B58" s="377">
        <v>48</v>
      </c>
      <c r="C58" s="377" t="s">
        <v>40</v>
      </c>
      <c r="D58" s="378"/>
      <c r="E58" s="378">
        <v>32.26</v>
      </c>
      <c r="F58" s="378">
        <v>30.31</v>
      </c>
      <c r="G58" s="378">
        <v>32.159999999999997</v>
      </c>
      <c r="H58" s="377">
        <v>30.23</v>
      </c>
      <c r="I58" s="379">
        <f t="shared" si="21"/>
        <v>1.95</v>
      </c>
      <c r="J58" s="380">
        <f t="shared" si="11"/>
        <v>1.93</v>
      </c>
      <c r="K58" s="381">
        <f t="shared" si="12"/>
        <v>3.04</v>
      </c>
      <c r="L58" s="382">
        <v>6</v>
      </c>
      <c r="M58" s="379">
        <f t="shared" si="15"/>
        <v>0</v>
      </c>
      <c r="N58" s="378">
        <f t="shared" si="13"/>
        <v>0</v>
      </c>
      <c r="O58" s="378">
        <f t="shared" si="17"/>
        <v>0</v>
      </c>
      <c r="P58" s="383">
        <f t="shared" si="18"/>
        <v>0</v>
      </c>
      <c r="Q58" s="378">
        <f t="shared" si="19"/>
        <v>0</v>
      </c>
      <c r="R58" s="378"/>
      <c r="S58" s="378">
        <f t="shared" si="14"/>
        <v>0</v>
      </c>
      <c r="T58" s="378">
        <v>0.5</v>
      </c>
      <c r="U58" s="378">
        <f t="shared" si="20"/>
        <v>0</v>
      </c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30" customHeight="1">
      <c r="A59" s="376" t="s">
        <v>46</v>
      </c>
      <c r="B59" s="377">
        <v>48</v>
      </c>
      <c r="C59" s="377" t="s">
        <v>40</v>
      </c>
      <c r="D59" s="378"/>
      <c r="E59" s="378">
        <v>32.159999999999997</v>
      </c>
      <c r="F59" s="378">
        <v>30.21</v>
      </c>
      <c r="G59" s="378">
        <v>31.62</v>
      </c>
      <c r="H59" s="377">
        <v>29.68</v>
      </c>
      <c r="I59" s="379">
        <f t="shared" si="21"/>
        <v>1.95</v>
      </c>
      <c r="J59" s="380">
        <f t="shared" si="11"/>
        <v>1.94</v>
      </c>
      <c r="K59" s="381">
        <f t="shared" si="12"/>
        <v>3.05</v>
      </c>
      <c r="L59" s="382">
        <v>6</v>
      </c>
      <c r="M59" s="379">
        <f t="shared" si="15"/>
        <v>0</v>
      </c>
      <c r="N59" s="378">
        <f t="shared" si="13"/>
        <v>0</v>
      </c>
      <c r="O59" s="378">
        <f t="shared" si="17"/>
        <v>0</v>
      </c>
      <c r="P59" s="383">
        <f t="shared" si="18"/>
        <v>0</v>
      </c>
      <c r="Q59" s="378">
        <f t="shared" si="19"/>
        <v>0</v>
      </c>
      <c r="R59" s="378"/>
      <c r="S59" s="378">
        <f t="shared" si="14"/>
        <v>0</v>
      </c>
      <c r="T59" s="378">
        <v>0.5</v>
      </c>
      <c r="U59" s="378">
        <f t="shared" si="20"/>
        <v>0</v>
      </c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30" customHeight="1">
      <c r="A60" s="376" t="s">
        <v>47</v>
      </c>
      <c r="B60" s="377">
        <v>48</v>
      </c>
      <c r="C60" s="377" t="s">
        <v>40</v>
      </c>
      <c r="D60" s="378"/>
      <c r="E60" s="378">
        <v>31.62</v>
      </c>
      <c r="F60" s="378">
        <v>29.66</v>
      </c>
      <c r="G60" s="378">
        <v>31.29</v>
      </c>
      <c r="H60" s="377">
        <v>29.35</v>
      </c>
      <c r="I60" s="379">
        <f t="shared" si="21"/>
        <v>1.96</v>
      </c>
      <c r="J60" s="380">
        <f t="shared" si="11"/>
        <v>1.94</v>
      </c>
      <c r="K60" s="381">
        <f t="shared" si="12"/>
        <v>3.05</v>
      </c>
      <c r="L60" s="382">
        <v>6</v>
      </c>
      <c r="M60" s="379">
        <f t="shared" si="15"/>
        <v>0</v>
      </c>
      <c r="N60" s="378">
        <f t="shared" si="13"/>
        <v>0</v>
      </c>
      <c r="O60" s="378">
        <f t="shared" si="17"/>
        <v>0</v>
      </c>
      <c r="P60" s="383">
        <f t="shared" si="18"/>
        <v>0</v>
      </c>
      <c r="Q60" s="378">
        <f t="shared" si="19"/>
        <v>0</v>
      </c>
      <c r="R60" s="378"/>
      <c r="S60" s="378">
        <f t="shared" si="14"/>
        <v>0</v>
      </c>
      <c r="T60" s="378">
        <v>0.5</v>
      </c>
      <c r="U60" s="378">
        <f t="shared" si="20"/>
        <v>0</v>
      </c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30" customHeight="1">
      <c r="A61" s="376" t="s">
        <v>48</v>
      </c>
      <c r="B61" s="377">
        <v>48</v>
      </c>
      <c r="C61" s="377" t="s">
        <v>40</v>
      </c>
      <c r="D61" s="378"/>
      <c r="E61" s="378">
        <v>31.29</v>
      </c>
      <c r="F61" s="378">
        <v>29</v>
      </c>
      <c r="G61" s="378">
        <v>30.81</v>
      </c>
      <c r="H61" s="377">
        <v>28.64</v>
      </c>
      <c r="I61" s="379">
        <f t="shared" si="21"/>
        <v>2.29</v>
      </c>
      <c r="J61" s="380">
        <f t="shared" si="11"/>
        <v>2.17</v>
      </c>
      <c r="K61" s="381">
        <f t="shared" si="12"/>
        <v>3.33</v>
      </c>
      <c r="L61" s="382">
        <v>6</v>
      </c>
      <c r="M61" s="379">
        <f t="shared" si="15"/>
        <v>0</v>
      </c>
      <c r="N61" s="378">
        <f t="shared" si="13"/>
        <v>0</v>
      </c>
      <c r="O61" s="378">
        <f t="shared" si="17"/>
        <v>0</v>
      </c>
      <c r="P61" s="383">
        <f t="shared" si="18"/>
        <v>0</v>
      </c>
      <c r="Q61" s="378">
        <f t="shared" si="19"/>
        <v>0</v>
      </c>
      <c r="R61" s="378"/>
      <c r="S61" s="378">
        <f t="shared" si="14"/>
        <v>0</v>
      </c>
      <c r="T61" s="378">
        <v>0.5</v>
      </c>
      <c r="U61" s="378">
        <f t="shared" si="20"/>
        <v>0</v>
      </c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ht="30" customHeight="1">
      <c r="A62" s="376" t="s">
        <v>49</v>
      </c>
      <c r="B62" s="377">
        <v>60</v>
      </c>
      <c r="C62" s="377" t="s">
        <v>40</v>
      </c>
      <c r="D62" s="378"/>
      <c r="E62" s="378">
        <v>30.81</v>
      </c>
      <c r="F62" s="378">
        <v>28.63</v>
      </c>
      <c r="G62" s="378">
        <v>30.59</v>
      </c>
      <c r="H62" s="377">
        <v>28.42</v>
      </c>
      <c r="I62" s="379">
        <f t="shared" si="21"/>
        <v>2.1800000000000002</v>
      </c>
      <c r="J62" s="380">
        <f t="shared" si="11"/>
        <v>2.17</v>
      </c>
      <c r="K62" s="381">
        <f t="shared" si="12"/>
        <v>3.28</v>
      </c>
      <c r="L62" s="382">
        <v>6</v>
      </c>
      <c r="M62" s="379">
        <f t="shared" si="15"/>
        <v>0</v>
      </c>
      <c r="N62" s="378">
        <f t="shared" si="13"/>
        <v>0</v>
      </c>
      <c r="O62" s="378">
        <f t="shared" si="17"/>
        <v>0</v>
      </c>
      <c r="P62" s="383">
        <f t="shared" si="18"/>
        <v>0</v>
      </c>
      <c r="Q62" s="378">
        <f t="shared" si="19"/>
        <v>0</v>
      </c>
      <c r="R62" s="378"/>
      <c r="S62" s="378">
        <f t="shared" si="14"/>
        <v>0</v>
      </c>
      <c r="T62" s="378">
        <v>0.5</v>
      </c>
      <c r="U62" s="378">
        <f t="shared" si="20"/>
        <v>0</v>
      </c>
      <c r="V62" s="54"/>
      <c r="W62" s="54"/>
      <c r="X62" s="54"/>
      <c r="Y62" s="54"/>
      <c r="Z62" s="54"/>
      <c r="AA62" s="54"/>
      <c r="AB62" s="54"/>
      <c r="AC62" s="54"/>
      <c r="AD62" s="54"/>
    </row>
    <row r="63" spans="1:30" ht="30" customHeight="1">
      <c r="A63" s="376" t="s">
        <v>50</v>
      </c>
      <c r="B63" s="377">
        <v>60</v>
      </c>
      <c r="C63" s="377" t="s">
        <v>40</v>
      </c>
      <c r="D63" s="378"/>
      <c r="E63" s="378">
        <v>30.59</v>
      </c>
      <c r="F63" s="378">
        <v>28.4</v>
      </c>
      <c r="G63" s="378">
        <v>30.39</v>
      </c>
      <c r="H63" s="377">
        <v>28.18</v>
      </c>
      <c r="I63" s="379">
        <f t="shared" si="21"/>
        <v>2.19</v>
      </c>
      <c r="J63" s="380">
        <f t="shared" si="11"/>
        <v>2.21</v>
      </c>
      <c r="K63" s="381">
        <f t="shared" si="12"/>
        <v>3.3</v>
      </c>
      <c r="L63" s="382">
        <v>6</v>
      </c>
      <c r="M63" s="379">
        <f t="shared" si="15"/>
        <v>0</v>
      </c>
      <c r="N63" s="378">
        <f t="shared" si="13"/>
        <v>0</v>
      </c>
      <c r="O63" s="378">
        <f t="shared" si="17"/>
        <v>0</v>
      </c>
      <c r="P63" s="383">
        <f t="shared" si="18"/>
        <v>0</v>
      </c>
      <c r="Q63" s="378">
        <f t="shared" si="19"/>
        <v>0</v>
      </c>
      <c r="R63" s="378"/>
      <c r="S63" s="378">
        <f t="shared" si="14"/>
        <v>0</v>
      </c>
      <c r="T63" s="378">
        <v>0.5</v>
      </c>
      <c r="U63" s="378">
        <f t="shared" si="20"/>
        <v>0</v>
      </c>
      <c r="V63" s="54"/>
      <c r="W63" s="54"/>
      <c r="X63" s="54"/>
      <c r="Y63" s="54"/>
      <c r="Z63" s="54"/>
      <c r="AA63" s="54"/>
      <c r="AB63" s="54"/>
      <c r="AC63" s="54"/>
      <c r="AD63" s="54"/>
    </row>
    <row r="64" spans="1:30" ht="30" customHeight="1">
      <c r="A64" s="376" t="s">
        <v>51</v>
      </c>
      <c r="B64" s="377">
        <v>60</v>
      </c>
      <c r="C64" s="377" t="s">
        <v>40</v>
      </c>
      <c r="D64" s="378"/>
      <c r="E64" s="378">
        <v>30.39</v>
      </c>
      <c r="F64" s="377">
        <v>28.16</v>
      </c>
      <c r="G64" s="378">
        <v>29.83</v>
      </c>
      <c r="H64" s="377">
        <v>27.65</v>
      </c>
      <c r="I64" s="379">
        <f t="shared" si="21"/>
        <v>2.23</v>
      </c>
      <c r="J64" s="380">
        <f t="shared" si="11"/>
        <v>2.1800000000000002</v>
      </c>
      <c r="K64" s="381">
        <f t="shared" si="12"/>
        <v>3.31</v>
      </c>
      <c r="L64" s="382">
        <v>6</v>
      </c>
      <c r="M64" s="379">
        <f t="shared" si="15"/>
        <v>0</v>
      </c>
      <c r="N64" s="378">
        <f t="shared" si="13"/>
        <v>0</v>
      </c>
      <c r="O64" s="378">
        <f t="shared" si="17"/>
        <v>0</v>
      </c>
      <c r="P64" s="383">
        <f t="shared" si="18"/>
        <v>0</v>
      </c>
      <c r="Q64" s="378">
        <f t="shared" si="19"/>
        <v>0</v>
      </c>
      <c r="R64" s="378"/>
      <c r="S64" s="378">
        <f t="shared" si="14"/>
        <v>0</v>
      </c>
      <c r="T64" s="378">
        <v>0.5</v>
      </c>
      <c r="U64" s="378">
        <f t="shared" si="20"/>
        <v>0</v>
      </c>
      <c r="V64" s="54"/>
      <c r="W64" s="54"/>
      <c r="X64" s="54"/>
      <c r="Y64" s="54"/>
      <c r="Z64" s="54"/>
      <c r="AA64" s="54"/>
      <c r="AB64" s="54"/>
      <c r="AC64" s="54"/>
      <c r="AD64" s="54"/>
    </row>
    <row r="65" spans="1:21" ht="30" customHeight="1">
      <c r="A65" s="376" t="s">
        <v>52</v>
      </c>
      <c r="B65" s="377">
        <v>60</v>
      </c>
      <c r="C65" s="377" t="s">
        <v>40</v>
      </c>
      <c r="D65" s="378"/>
      <c r="E65" s="378">
        <v>29.83</v>
      </c>
      <c r="F65" s="377">
        <v>27.63</v>
      </c>
      <c r="G65" s="378">
        <v>29.73</v>
      </c>
      <c r="H65" s="377">
        <v>27.56</v>
      </c>
      <c r="I65" s="379">
        <f t="shared" si="21"/>
        <v>2.2000000000000002</v>
      </c>
      <c r="J65" s="380">
        <f t="shared" si="11"/>
        <v>2.17</v>
      </c>
      <c r="K65" s="381">
        <f t="shared" si="12"/>
        <v>3.29</v>
      </c>
      <c r="L65" s="382">
        <v>6</v>
      </c>
      <c r="M65" s="379">
        <f t="shared" si="15"/>
        <v>0</v>
      </c>
      <c r="N65" s="378">
        <f t="shared" si="13"/>
        <v>0</v>
      </c>
      <c r="O65" s="378">
        <f t="shared" si="17"/>
        <v>0</v>
      </c>
      <c r="P65" s="383">
        <f t="shared" si="18"/>
        <v>0</v>
      </c>
      <c r="Q65" s="378">
        <f t="shared" si="19"/>
        <v>0</v>
      </c>
      <c r="R65" s="378"/>
      <c r="S65" s="378">
        <f t="shared" si="14"/>
        <v>0</v>
      </c>
      <c r="T65" s="378">
        <v>0.5</v>
      </c>
      <c r="U65" s="378">
        <f t="shared" si="20"/>
        <v>0</v>
      </c>
    </row>
    <row r="66" spans="1:21" ht="30" customHeight="1">
      <c r="A66" s="376" t="s">
        <v>53</v>
      </c>
      <c r="B66" s="377">
        <v>60</v>
      </c>
      <c r="C66" s="377" t="s">
        <v>40</v>
      </c>
      <c r="D66" s="378"/>
      <c r="E66" s="378">
        <v>29.73</v>
      </c>
      <c r="F66" s="377">
        <v>27.54</v>
      </c>
      <c r="G66" s="378">
        <v>29.73</v>
      </c>
      <c r="H66" s="377">
        <v>27.48</v>
      </c>
      <c r="I66" s="379">
        <f t="shared" si="21"/>
        <v>2.19</v>
      </c>
      <c r="J66" s="380">
        <f t="shared" si="11"/>
        <v>2.25</v>
      </c>
      <c r="K66" s="381">
        <f t="shared" si="12"/>
        <v>3.32</v>
      </c>
      <c r="L66" s="382">
        <v>6</v>
      </c>
      <c r="M66" s="379">
        <f t="shared" si="15"/>
        <v>0</v>
      </c>
      <c r="N66" s="378">
        <f t="shared" si="13"/>
        <v>0</v>
      </c>
      <c r="O66" s="378">
        <f t="shared" si="17"/>
        <v>0</v>
      </c>
      <c r="P66" s="383">
        <f t="shared" si="18"/>
        <v>0</v>
      </c>
      <c r="Q66" s="378">
        <f t="shared" si="19"/>
        <v>0</v>
      </c>
      <c r="R66" s="378"/>
      <c r="S66" s="378">
        <f t="shared" si="14"/>
        <v>0</v>
      </c>
      <c r="T66" s="378">
        <v>0.5</v>
      </c>
      <c r="U66" s="378">
        <f t="shared" si="20"/>
        <v>0</v>
      </c>
    </row>
    <row r="67" spans="1:21" ht="30" customHeight="1">
      <c r="A67" s="376" t="s">
        <v>54</v>
      </c>
      <c r="B67" s="377">
        <v>60</v>
      </c>
      <c r="C67" s="377" t="s">
        <v>40</v>
      </c>
      <c r="D67" s="378"/>
      <c r="E67" s="378">
        <v>29.73</v>
      </c>
      <c r="F67" s="377">
        <v>27.46</v>
      </c>
      <c r="G67" s="378">
        <v>29.4</v>
      </c>
      <c r="H67" s="377">
        <v>27.22</v>
      </c>
      <c r="I67" s="379">
        <f t="shared" si="21"/>
        <v>2.27</v>
      </c>
      <c r="J67" s="380">
        <f t="shared" si="11"/>
        <v>2.1800000000000002</v>
      </c>
      <c r="K67" s="381">
        <f t="shared" si="12"/>
        <v>3.33</v>
      </c>
      <c r="L67" s="382">
        <v>6</v>
      </c>
      <c r="M67" s="379">
        <f t="shared" si="15"/>
        <v>0</v>
      </c>
      <c r="N67" s="378">
        <f t="shared" si="13"/>
        <v>0</v>
      </c>
      <c r="O67" s="378">
        <f t="shared" si="17"/>
        <v>0</v>
      </c>
      <c r="P67" s="383">
        <f t="shared" si="18"/>
        <v>0</v>
      </c>
      <c r="Q67" s="378">
        <f t="shared" si="19"/>
        <v>0</v>
      </c>
      <c r="R67" s="378"/>
      <c r="S67" s="378">
        <f t="shared" si="14"/>
        <v>0</v>
      </c>
      <c r="T67" s="378">
        <v>0.5</v>
      </c>
      <c r="U67" s="378">
        <f t="shared" si="20"/>
        <v>0</v>
      </c>
    </row>
    <row r="68" spans="1:21" ht="30" customHeight="1">
      <c r="A68" s="376" t="s">
        <v>55</v>
      </c>
      <c r="B68" s="377">
        <v>60</v>
      </c>
      <c r="C68" s="377" t="s">
        <v>40</v>
      </c>
      <c r="D68" s="378"/>
      <c r="E68" s="378">
        <v>29.4</v>
      </c>
      <c r="F68" s="377">
        <v>27.2</v>
      </c>
      <c r="G68" s="378">
        <v>29.3</v>
      </c>
      <c r="H68" s="377">
        <v>27.12</v>
      </c>
      <c r="I68" s="379">
        <f t="shared" si="21"/>
        <v>2.2000000000000002</v>
      </c>
      <c r="J68" s="380">
        <f t="shared" si="11"/>
        <v>2.1800000000000002</v>
      </c>
      <c r="K68" s="381">
        <f t="shared" si="12"/>
        <v>3.29</v>
      </c>
      <c r="L68" s="382">
        <v>6</v>
      </c>
      <c r="M68" s="379">
        <f t="shared" si="15"/>
        <v>0</v>
      </c>
      <c r="N68" s="378">
        <f t="shared" si="13"/>
        <v>0</v>
      </c>
      <c r="O68" s="378">
        <f t="shared" si="17"/>
        <v>0</v>
      </c>
      <c r="P68" s="383">
        <f t="shared" si="18"/>
        <v>0</v>
      </c>
      <c r="Q68" s="378">
        <f t="shared" si="19"/>
        <v>0</v>
      </c>
      <c r="R68" s="378"/>
      <c r="S68" s="378">
        <f t="shared" si="14"/>
        <v>0</v>
      </c>
      <c r="T68" s="378">
        <v>0.5</v>
      </c>
      <c r="U68" s="378">
        <f t="shared" si="20"/>
        <v>0</v>
      </c>
    </row>
    <row r="69" spans="1:21" ht="30" customHeight="1">
      <c r="A69" s="376" t="s">
        <v>56</v>
      </c>
      <c r="B69" s="377">
        <v>60</v>
      </c>
      <c r="C69" s="377" t="s">
        <v>40</v>
      </c>
      <c r="D69" s="378"/>
      <c r="E69" s="378">
        <v>29.3</v>
      </c>
      <c r="F69" s="377">
        <v>27.1</v>
      </c>
      <c r="G69" s="378">
        <v>29.15</v>
      </c>
      <c r="H69" s="377">
        <v>26.97</v>
      </c>
      <c r="I69" s="379">
        <f t="shared" si="21"/>
        <v>2.2000000000000002</v>
      </c>
      <c r="J69" s="380">
        <f t="shared" si="11"/>
        <v>2.1800000000000002</v>
      </c>
      <c r="K69" s="381">
        <f t="shared" si="12"/>
        <v>3.29</v>
      </c>
      <c r="L69" s="382">
        <v>6</v>
      </c>
      <c r="M69" s="379">
        <f t="shared" si="15"/>
        <v>0</v>
      </c>
      <c r="N69" s="378">
        <f t="shared" si="13"/>
        <v>0</v>
      </c>
      <c r="O69" s="378">
        <f t="shared" si="17"/>
        <v>0</v>
      </c>
      <c r="P69" s="383">
        <f t="shared" si="18"/>
        <v>0</v>
      </c>
      <c r="Q69" s="378">
        <f t="shared" si="19"/>
        <v>0</v>
      </c>
      <c r="R69" s="378"/>
      <c r="S69" s="378">
        <f t="shared" si="14"/>
        <v>0</v>
      </c>
      <c r="T69" s="378">
        <v>0.5</v>
      </c>
      <c r="U69" s="378">
        <f t="shared" si="20"/>
        <v>0</v>
      </c>
    </row>
    <row r="70" spans="1:21" ht="30" customHeight="1">
      <c r="A70" s="376" t="s">
        <v>57</v>
      </c>
      <c r="B70" s="377">
        <v>60</v>
      </c>
      <c r="C70" s="377" t="s">
        <v>40</v>
      </c>
      <c r="D70" s="378"/>
      <c r="E70" s="378">
        <v>29.15</v>
      </c>
      <c r="F70" s="377">
        <v>26.95</v>
      </c>
      <c r="G70" s="378">
        <v>28.89</v>
      </c>
      <c r="H70" s="377">
        <v>26.72</v>
      </c>
      <c r="I70" s="379">
        <f t="shared" si="21"/>
        <v>2.2000000000000002</v>
      </c>
      <c r="J70" s="380">
        <f t="shared" si="11"/>
        <v>2.17</v>
      </c>
      <c r="K70" s="381">
        <f t="shared" si="12"/>
        <v>3.29</v>
      </c>
      <c r="L70" s="382">
        <v>6</v>
      </c>
      <c r="M70" s="379">
        <f t="shared" si="15"/>
        <v>0</v>
      </c>
      <c r="N70" s="378">
        <f t="shared" si="13"/>
        <v>0</v>
      </c>
      <c r="O70" s="378">
        <f t="shared" si="17"/>
        <v>0</v>
      </c>
      <c r="P70" s="383">
        <f t="shared" si="18"/>
        <v>0</v>
      </c>
      <c r="Q70" s="378">
        <f t="shared" si="19"/>
        <v>0</v>
      </c>
      <c r="R70" s="378"/>
      <c r="S70" s="378">
        <f t="shared" si="14"/>
        <v>0</v>
      </c>
      <c r="T70" s="378">
        <v>0.5</v>
      </c>
      <c r="U70" s="378">
        <f t="shared" si="20"/>
        <v>0</v>
      </c>
    </row>
    <row r="71" spans="1:21" ht="30" customHeight="1">
      <c r="A71" s="376" t="s">
        <v>58</v>
      </c>
      <c r="B71" s="377">
        <v>60</v>
      </c>
      <c r="C71" s="377" t="s">
        <v>40</v>
      </c>
      <c r="D71" s="378"/>
      <c r="E71" s="378">
        <v>28.89</v>
      </c>
      <c r="F71" s="377">
        <v>26.7</v>
      </c>
      <c r="G71" s="378">
        <v>28.63</v>
      </c>
      <c r="H71" s="377">
        <v>26.45</v>
      </c>
      <c r="I71" s="379">
        <f t="shared" si="21"/>
        <v>2.19</v>
      </c>
      <c r="J71" s="380">
        <f t="shared" si="11"/>
        <v>2.1800000000000002</v>
      </c>
      <c r="K71" s="381">
        <f t="shared" si="12"/>
        <v>3.29</v>
      </c>
      <c r="L71" s="382">
        <v>6</v>
      </c>
      <c r="M71" s="379">
        <f t="shared" si="15"/>
        <v>0</v>
      </c>
      <c r="N71" s="378">
        <f t="shared" si="13"/>
        <v>0</v>
      </c>
      <c r="O71" s="378">
        <f t="shared" si="17"/>
        <v>0</v>
      </c>
      <c r="P71" s="383">
        <f t="shared" si="18"/>
        <v>0</v>
      </c>
      <c r="Q71" s="378">
        <f t="shared" si="19"/>
        <v>0</v>
      </c>
      <c r="R71" s="378"/>
      <c r="S71" s="378">
        <f t="shared" si="14"/>
        <v>0</v>
      </c>
      <c r="T71" s="378">
        <v>0.5</v>
      </c>
      <c r="U71" s="378">
        <f t="shared" si="20"/>
        <v>0</v>
      </c>
    </row>
    <row r="72" spans="1:21" ht="30" customHeight="1">
      <c r="A72" s="376" t="s">
        <v>59</v>
      </c>
      <c r="B72" s="377">
        <v>60</v>
      </c>
      <c r="C72" s="377" t="s">
        <v>40</v>
      </c>
      <c r="D72" s="378"/>
      <c r="E72" s="378">
        <v>28.63</v>
      </c>
      <c r="F72" s="377">
        <v>26.43</v>
      </c>
      <c r="G72" s="378">
        <v>28.47</v>
      </c>
      <c r="H72" s="377">
        <v>26.29</v>
      </c>
      <c r="I72" s="379">
        <f t="shared" si="21"/>
        <v>2.2000000000000002</v>
      </c>
      <c r="J72" s="380">
        <f t="shared" si="11"/>
        <v>2.1800000000000002</v>
      </c>
      <c r="K72" s="381">
        <f t="shared" si="12"/>
        <v>3.29</v>
      </c>
      <c r="L72" s="382">
        <v>6</v>
      </c>
      <c r="M72" s="379">
        <f t="shared" si="15"/>
        <v>0</v>
      </c>
      <c r="N72" s="378">
        <f t="shared" si="13"/>
        <v>0</v>
      </c>
      <c r="O72" s="378">
        <f t="shared" si="17"/>
        <v>0</v>
      </c>
      <c r="P72" s="383">
        <f t="shared" si="18"/>
        <v>0</v>
      </c>
      <c r="Q72" s="378">
        <f t="shared" si="19"/>
        <v>0</v>
      </c>
      <c r="R72" s="378"/>
      <c r="S72" s="378">
        <f t="shared" si="14"/>
        <v>0</v>
      </c>
      <c r="T72" s="378">
        <v>0.5</v>
      </c>
      <c r="U72" s="378">
        <f t="shared" si="20"/>
        <v>0</v>
      </c>
    </row>
    <row r="73" spans="1:21" ht="30" customHeight="1">
      <c r="A73" s="376" t="s">
        <v>60</v>
      </c>
      <c r="B73" s="377">
        <v>60</v>
      </c>
      <c r="C73" s="377" t="s">
        <v>40</v>
      </c>
      <c r="D73" s="378"/>
      <c r="E73" s="378">
        <v>28.47</v>
      </c>
      <c r="F73" s="377">
        <v>26.27</v>
      </c>
      <c r="G73" s="378">
        <v>28.3</v>
      </c>
      <c r="H73" s="377">
        <v>26.12</v>
      </c>
      <c r="I73" s="379">
        <f t="shared" si="21"/>
        <v>2.2000000000000002</v>
      </c>
      <c r="J73" s="380">
        <f t="shared" si="11"/>
        <v>2.1800000000000002</v>
      </c>
      <c r="K73" s="381">
        <f t="shared" si="12"/>
        <v>3.29</v>
      </c>
      <c r="L73" s="382">
        <v>6</v>
      </c>
      <c r="M73" s="379">
        <f t="shared" si="15"/>
        <v>0</v>
      </c>
      <c r="N73" s="378">
        <f t="shared" si="13"/>
        <v>0</v>
      </c>
      <c r="O73" s="378">
        <f t="shared" si="17"/>
        <v>0</v>
      </c>
      <c r="P73" s="383">
        <f t="shared" si="18"/>
        <v>0</v>
      </c>
      <c r="Q73" s="378">
        <f t="shared" si="19"/>
        <v>0</v>
      </c>
      <c r="R73" s="378"/>
      <c r="S73" s="378">
        <f t="shared" si="14"/>
        <v>0</v>
      </c>
      <c r="T73" s="378">
        <v>0.5</v>
      </c>
      <c r="U73" s="378">
        <f t="shared" si="20"/>
        <v>0</v>
      </c>
    </row>
    <row r="74" spans="1:21" ht="30" customHeight="1">
      <c r="A74" s="376" t="s">
        <v>61</v>
      </c>
      <c r="B74" s="377">
        <v>60</v>
      </c>
      <c r="C74" s="377" t="s">
        <v>40</v>
      </c>
      <c r="D74" s="378"/>
      <c r="E74" s="378">
        <v>28.3</v>
      </c>
      <c r="F74" s="377">
        <v>26.12</v>
      </c>
      <c r="G74" s="378">
        <v>28.08</v>
      </c>
      <c r="H74" s="377">
        <v>25.9</v>
      </c>
      <c r="I74" s="379">
        <f t="shared" si="21"/>
        <v>2.1800000000000002</v>
      </c>
      <c r="J74" s="380">
        <f t="shared" si="11"/>
        <v>2.1800000000000002</v>
      </c>
      <c r="K74" s="381">
        <f t="shared" si="12"/>
        <v>3.28</v>
      </c>
      <c r="L74" s="382">
        <v>6</v>
      </c>
      <c r="M74" s="379">
        <f t="shared" si="15"/>
        <v>0</v>
      </c>
      <c r="N74" s="378">
        <f t="shared" si="13"/>
        <v>0</v>
      </c>
      <c r="O74" s="378">
        <f t="shared" si="17"/>
        <v>0</v>
      </c>
      <c r="P74" s="383">
        <f t="shared" si="18"/>
        <v>0</v>
      </c>
      <c r="Q74" s="378">
        <f t="shared" si="19"/>
        <v>0</v>
      </c>
      <c r="R74" s="378"/>
      <c r="S74" s="378">
        <f t="shared" si="14"/>
        <v>0</v>
      </c>
      <c r="T74" s="378">
        <v>0.5</v>
      </c>
      <c r="U74" s="378">
        <f t="shared" si="20"/>
        <v>0</v>
      </c>
    </row>
    <row r="75" spans="1:21" ht="30" customHeight="1">
      <c r="A75" s="376" t="s">
        <v>62</v>
      </c>
      <c r="B75" s="377">
        <v>60</v>
      </c>
      <c r="C75" s="377" t="s">
        <v>40</v>
      </c>
      <c r="D75" s="378"/>
      <c r="E75" s="378">
        <v>28.08</v>
      </c>
      <c r="F75" s="377">
        <v>25.88</v>
      </c>
      <c r="G75" s="378">
        <v>27.84</v>
      </c>
      <c r="H75" s="377">
        <v>25.67</v>
      </c>
      <c r="I75" s="379">
        <f t="shared" si="21"/>
        <v>2.2000000000000002</v>
      </c>
      <c r="J75" s="380">
        <f t="shared" si="11"/>
        <v>2.17</v>
      </c>
      <c r="K75" s="381">
        <f t="shared" si="12"/>
        <v>3.29</v>
      </c>
      <c r="L75" s="382">
        <v>6</v>
      </c>
      <c r="M75" s="379">
        <f t="shared" si="15"/>
        <v>0</v>
      </c>
      <c r="N75" s="378">
        <f t="shared" si="13"/>
        <v>0</v>
      </c>
      <c r="O75" s="378">
        <f t="shared" si="17"/>
        <v>0</v>
      </c>
      <c r="P75" s="383">
        <f t="shared" si="18"/>
        <v>0</v>
      </c>
      <c r="Q75" s="378">
        <f t="shared" si="19"/>
        <v>0</v>
      </c>
      <c r="R75" s="378"/>
      <c r="S75" s="378">
        <f t="shared" si="14"/>
        <v>0</v>
      </c>
      <c r="T75" s="378">
        <v>0.5</v>
      </c>
      <c r="U75" s="378">
        <f t="shared" si="20"/>
        <v>0</v>
      </c>
    </row>
    <row r="76" spans="1:21" ht="30" customHeight="1">
      <c r="A76" s="376" t="s">
        <v>63</v>
      </c>
      <c r="B76" s="377">
        <v>60</v>
      </c>
      <c r="C76" s="377" t="s">
        <v>40</v>
      </c>
      <c r="D76" s="378"/>
      <c r="E76" s="378">
        <v>27.84</v>
      </c>
      <c r="F76" s="377">
        <v>25.65</v>
      </c>
      <c r="G76" s="378">
        <v>27.84</v>
      </c>
      <c r="H76" s="377">
        <v>25.48</v>
      </c>
      <c r="I76" s="379">
        <f t="shared" si="21"/>
        <v>2.19</v>
      </c>
      <c r="J76" s="380">
        <f t="shared" si="11"/>
        <v>2.36</v>
      </c>
      <c r="K76" s="381">
        <f t="shared" si="12"/>
        <v>3.38</v>
      </c>
      <c r="L76" s="382">
        <v>6</v>
      </c>
      <c r="M76" s="379">
        <f t="shared" si="15"/>
        <v>0</v>
      </c>
      <c r="N76" s="378">
        <f t="shared" si="13"/>
        <v>0</v>
      </c>
      <c r="O76" s="378">
        <f t="shared" si="17"/>
        <v>0</v>
      </c>
      <c r="P76" s="383">
        <f t="shared" si="18"/>
        <v>0</v>
      </c>
      <c r="Q76" s="378">
        <f t="shared" si="19"/>
        <v>0</v>
      </c>
      <c r="R76" s="378"/>
      <c r="S76" s="378">
        <f t="shared" si="14"/>
        <v>0</v>
      </c>
      <c r="T76" s="378">
        <v>0.5</v>
      </c>
      <c r="U76" s="378">
        <f t="shared" si="20"/>
        <v>0</v>
      </c>
    </row>
    <row r="77" spans="1:21" ht="30" customHeight="1">
      <c r="A77" s="376" t="s">
        <v>64</v>
      </c>
      <c r="B77" s="377">
        <v>60</v>
      </c>
      <c r="C77" s="377" t="s">
        <v>40</v>
      </c>
      <c r="D77" s="378"/>
      <c r="E77" s="378">
        <v>27.84</v>
      </c>
      <c r="F77" s="377">
        <v>25.46</v>
      </c>
      <c r="G77" s="378">
        <v>27.3</v>
      </c>
      <c r="H77" s="377">
        <v>25.13</v>
      </c>
      <c r="I77" s="379">
        <f t="shared" si="21"/>
        <v>2.38</v>
      </c>
      <c r="J77" s="380">
        <f t="shared" si="11"/>
        <v>2.17</v>
      </c>
      <c r="K77" s="381">
        <f t="shared" si="12"/>
        <v>3.38</v>
      </c>
      <c r="L77" s="382">
        <v>6</v>
      </c>
      <c r="M77" s="379">
        <f t="shared" si="15"/>
        <v>0</v>
      </c>
      <c r="N77" s="378">
        <f t="shared" si="13"/>
        <v>0</v>
      </c>
      <c r="O77" s="378">
        <f t="shared" si="17"/>
        <v>0</v>
      </c>
      <c r="P77" s="383">
        <f t="shared" si="18"/>
        <v>0</v>
      </c>
      <c r="Q77" s="378">
        <f t="shared" si="19"/>
        <v>0</v>
      </c>
      <c r="R77" s="378"/>
      <c r="S77" s="378">
        <f t="shared" si="14"/>
        <v>0</v>
      </c>
      <c r="T77" s="378">
        <v>0.5</v>
      </c>
      <c r="U77" s="378">
        <f t="shared" si="20"/>
        <v>0</v>
      </c>
    </row>
    <row r="78" spans="1:21" ht="30" customHeight="1">
      <c r="A78" s="376" t="s">
        <v>65</v>
      </c>
      <c r="B78" s="377">
        <v>60</v>
      </c>
      <c r="C78" s="377" t="s">
        <v>40</v>
      </c>
      <c r="D78" s="378"/>
      <c r="E78" s="378">
        <v>27.3</v>
      </c>
      <c r="F78" s="377">
        <v>25.11</v>
      </c>
      <c r="G78" s="378">
        <v>27.68</v>
      </c>
      <c r="H78" s="377">
        <v>25.05</v>
      </c>
      <c r="I78" s="379">
        <f t="shared" si="21"/>
        <v>2.19</v>
      </c>
      <c r="J78" s="380">
        <f t="shared" si="11"/>
        <v>2.63</v>
      </c>
      <c r="K78" s="381">
        <f t="shared" si="12"/>
        <v>3.51</v>
      </c>
      <c r="L78" s="382">
        <v>6</v>
      </c>
      <c r="M78" s="379">
        <f t="shared" si="15"/>
        <v>0</v>
      </c>
      <c r="N78" s="378">
        <f t="shared" si="13"/>
        <v>0</v>
      </c>
      <c r="O78" s="378">
        <f t="shared" si="17"/>
        <v>0</v>
      </c>
      <c r="P78" s="383">
        <f t="shared" si="18"/>
        <v>0</v>
      </c>
      <c r="Q78" s="378">
        <f t="shared" si="19"/>
        <v>0</v>
      </c>
      <c r="R78" s="378"/>
      <c r="S78" s="378">
        <f t="shared" si="14"/>
        <v>0</v>
      </c>
      <c r="T78" s="378">
        <v>0.5</v>
      </c>
      <c r="U78" s="378">
        <f t="shared" si="20"/>
        <v>0</v>
      </c>
    </row>
    <row r="79" spans="1:21" ht="30" customHeight="1">
      <c r="A79" s="376" t="s">
        <v>66</v>
      </c>
      <c r="B79" s="377">
        <v>80</v>
      </c>
      <c r="C79" s="377" t="s">
        <v>40</v>
      </c>
      <c r="D79" s="378"/>
      <c r="E79" s="378">
        <v>27.68</v>
      </c>
      <c r="F79" s="377">
        <v>25</v>
      </c>
      <c r="G79" s="378">
        <v>27.62</v>
      </c>
      <c r="H79" s="377">
        <v>24.95</v>
      </c>
      <c r="I79" s="379">
        <f t="shared" si="21"/>
        <v>2.68</v>
      </c>
      <c r="J79" s="380">
        <f t="shared" si="11"/>
        <v>2.67</v>
      </c>
      <c r="K79" s="381">
        <f t="shared" si="12"/>
        <v>3.78</v>
      </c>
      <c r="L79" s="382">
        <v>6</v>
      </c>
      <c r="M79" s="379">
        <f t="shared" si="15"/>
        <v>0</v>
      </c>
      <c r="N79" s="378">
        <f t="shared" si="13"/>
        <v>0</v>
      </c>
      <c r="O79" s="378">
        <f t="shared" si="17"/>
        <v>0</v>
      </c>
      <c r="P79" s="383">
        <f t="shared" si="18"/>
        <v>0</v>
      </c>
      <c r="Q79" s="378">
        <f t="shared" si="19"/>
        <v>0</v>
      </c>
      <c r="R79" s="378"/>
      <c r="S79" s="378">
        <f t="shared" si="14"/>
        <v>0</v>
      </c>
      <c r="T79" s="378">
        <v>0.5</v>
      </c>
      <c r="U79" s="378">
        <f t="shared" si="20"/>
        <v>0</v>
      </c>
    </row>
    <row r="80" spans="1:21" ht="30" customHeight="1">
      <c r="A80" s="376" t="s">
        <v>67</v>
      </c>
      <c r="B80" s="377">
        <v>80</v>
      </c>
      <c r="C80" s="377" t="s">
        <v>40</v>
      </c>
      <c r="D80" s="378"/>
      <c r="E80" s="378">
        <v>27.62</v>
      </c>
      <c r="F80" s="377">
        <v>24.94</v>
      </c>
      <c r="G80" s="378">
        <v>27.43</v>
      </c>
      <c r="H80" s="377">
        <v>24.75</v>
      </c>
      <c r="I80" s="379">
        <f t="shared" si="21"/>
        <v>2.68</v>
      </c>
      <c r="J80" s="380">
        <f t="shared" si="11"/>
        <v>2.68</v>
      </c>
      <c r="K80" s="381">
        <f t="shared" si="12"/>
        <v>3.78</v>
      </c>
      <c r="L80" s="382">
        <v>6</v>
      </c>
      <c r="M80" s="379">
        <f t="shared" si="15"/>
        <v>0</v>
      </c>
      <c r="N80" s="378">
        <f t="shared" si="13"/>
        <v>0</v>
      </c>
      <c r="O80" s="378">
        <f t="shared" si="17"/>
        <v>0</v>
      </c>
      <c r="P80" s="383">
        <f t="shared" si="18"/>
        <v>0</v>
      </c>
      <c r="Q80" s="378">
        <f t="shared" si="19"/>
        <v>0</v>
      </c>
      <c r="R80" s="378"/>
      <c r="S80" s="378">
        <f t="shared" si="14"/>
        <v>0</v>
      </c>
      <c r="T80" s="378">
        <v>0.5</v>
      </c>
      <c r="U80" s="378">
        <f t="shared" si="20"/>
        <v>0</v>
      </c>
    </row>
    <row r="81" spans="1:21" ht="30" customHeight="1">
      <c r="A81" s="376" t="s">
        <v>68</v>
      </c>
      <c r="B81" s="377">
        <v>80</v>
      </c>
      <c r="C81" s="377" t="s">
        <v>40</v>
      </c>
      <c r="D81" s="378"/>
      <c r="E81" s="378">
        <v>27.43</v>
      </c>
      <c r="F81" s="377">
        <v>24.71</v>
      </c>
      <c r="G81" s="378">
        <v>27.3</v>
      </c>
      <c r="H81" s="377">
        <v>24.61</v>
      </c>
      <c r="I81" s="379">
        <f t="shared" si="21"/>
        <v>2.72</v>
      </c>
      <c r="J81" s="380">
        <f t="shared" si="11"/>
        <v>2.69</v>
      </c>
      <c r="K81" s="381">
        <f t="shared" si="12"/>
        <v>3.81</v>
      </c>
      <c r="L81" s="382">
        <v>6</v>
      </c>
      <c r="M81" s="379">
        <f t="shared" si="15"/>
        <v>0</v>
      </c>
      <c r="N81" s="378">
        <f t="shared" si="13"/>
        <v>0</v>
      </c>
      <c r="O81" s="378">
        <f t="shared" si="17"/>
        <v>0</v>
      </c>
      <c r="P81" s="383">
        <f t="shared" si="18"/>
        <v>0</v>
      </c>
      <c r="Q81" s="378">
        <f t="shared" si="19"/>
        <v>0</v>
      </c>
      <c r="R81" s="378"/>
      <c r="S81" s="378">
        <f t="shared" si="14"/>
        <v>0</v>
      </c>
      <c r="T81" s="378">
        <v>0.5</v>
      </c>
      <c r="U81" s="378">
        <f t="shared" si="20"/>
        <v>0</v>
      </c>
    </row>
    <row r="82" spans="1:21" ht="30" customHeight="1">
      <c r="A82" s="376" t="s">
        <v>69</v>
      </c>
      <c r="B82" s="377">
        <v>80</v>
      </c>
      <c r="C82" s="377" t="s">
        <v>40</v>
      </c>
      <c r="D82" s="378"/>
      <c r="E82" s="378">
        <v>27.3</v>
      </c>
      <c r="F82" s="377">
        <v>24.6</v>
      </c>
      <c r="G82" s="378">
        <v>27.08</v>
      </c>
      <c r="H82" s="377">
        <v>24.4</v>
      </c>
      <c r="I82" s="379">
        <f t="shared" si="21"/>
        <v>2.7</v>
      </c>
      <c r="J82" s="380">
        <f t="shared" si="11"/>
        <v>2.68</v>
      </c>
      <c r="K82" s="381">
        <f t="shared" si="12"/>
        <v>3.79</v>
      </c>
      <c r="L82" s="382">
        <v>6</v>
      </c>
      <c r="M82" s="379">
        <f t="shared" si="15"/>
        <v>0</v>
      </c>
      <c r="N82" s="378">
        <f t="shared" si="13"/>
        <v>0</v>
      </c>
      <c r="O82" s="378">
        <f t="shared" si="17"/>
        <v>0</v>
      </c>
      <c r="P82" s="383">
        <f t="shared" si="18"/>
        <v>0</v>
      </c>
      <c r="Q82" s="378">
        <f t="shared" si="19"/>
        <v>0</v>
      </c>
      <c r="R82" s="378"/>
      <c r="S82" s="378">
        <f t="shared" si="14"/>
        <v>0</v>
      </c>
      <c r="T82" s="378">
        <v>0.5</v>
      </c>
      <c r="U82" s="378">
        <f t="shared" si="20"/>
        <v>0</v>
      </c>
    </row>
    <row r="83" spans="1:21" ht="30" customHeight="1">
      <c r="A83" s="376" t="s">
        <v>70</v>
      </c>
      <c r="B83" s="377">
        <v>80</v>
      </c>
      <c r="C83" s="377" t="s">
        <v>40</v>
      </c>
      <c r="D83" s="378"/>
      <c r="E83" s="378">
        <v>27.08</v>
      </c>
      <c r="F83" s="377">
        <v>24.39</v>
      </c>
      <c r="G83" s="378">
        <v>27.08</v>
      </c>
      <c r="H83" s="377">
        <v>24.33</v>
      </c>
      <c r="I83" s="379">
        <f t="shared" si="21"/>
        <v>2.69</v>
      </c>
      <c r="J83" s="380">
        <f t="shared" si="11"/>
        <v>2.75</v>
      </c>
      <c r="K83" s="381">
        <f t="shared" si="12"/>
        <v>3.82</v>
      </c>
      <c r="L83" s="382">
        <v>6</v>
      </c>
      <c r="M83" s="379">
        <f t="shared" si="15"/>
        <v>0</v>
      </c>
      <c r="N83" s="378">
        <f t="shared" si="13"/>
        <v>0</v>
      </c>
      <c r="O83" s="378">
        <f t="shared" si="17"/>
        <v>0</v>
      </c>
      <c r="P83" s="383">
        <f t="shared" si="18"/>
        <v>0</v>
      </c>
      <c r="Q83" s="378">
        <f t="shared" si="19"/>
        <v>0</v>
      </c>
      <c r="R83" s="378"/>
      <c r="S83" s="378">
        <f t="shared" si="14"/>
        <v>0</v>
      </c>
      <c r="T83" s="378">
        <v>0.5</v>
      </c>
      <c r="U83" s="378">
        <f t="shared" si="20"/>
        <v>0</v>
      </c>
    </row>
    <row r="84" spans="1:21" ht="30" customHeight="1">
      <c r="A84" s="376" t="s">
        <v>71</v>
      </c>
      <c r="B84" s="377">
        <v>80</v>
      </c>
      <c r="C84" s="377" t="s">
        <v>40</v>
      </c>
      <c r="D84" s="378"/>
      <c r="E84" s="378">
        <v>27.08</v>
      </c>
      <c r="F84" s="377">
        <v>24.32</v>
      </c>
      <c r="G84" s="378">
        <v>26.98</v>
      </c>
      <c r="H84" s="377">
        <v>24.3</v>
      </c>
      <c r="I84" s="379">
        <f t="shared" si="21"/>
        <v>2.76</v>
      </c>
      <c r="J84" s="380">
        <f t="shared" si="11"/>
        <v>2.68</v>
      </c>
      <c r="K84" s="381">
        <f t="shared" si="12"/>
        <v>3.82</v>
      </c>
      <c r="L84" s="382">
        <v>6</v>
      </c>
      <c r="M84" s="379">
        <f t="shared" si="15"/>
        <v>0</v>
      </c>
      <c r="N84" s="378">
        <f t="shared" si="13"/>
        <v>0</v>
      </c>
      <c r="O84" s="378">
        <f t="shared" si="17"/>
        <v>0</v>
      </c>
      <c r="P84" s="383">
        <f t="shared" si="18"/>
        <v>0</v>
      </c>
      <c r="Q84" s="378">
        <f t="shared" si="19"/>
        <v>0</v>
      </c>
      <c r="R84" s="378"/>
      <c r="S84" s="378">
        <f t="shared" si="14"/>
        <v>0</v>
      </c>
      <c r="T84" s="378">
        <v>0.5</v>
      </c>
      <c r="U84" s="378">
        <f t="shared" si="20"/>
        <v>0</v>
      </c>
    </row>
    <row r="85" spans="1:21" ht="30" customHeight="1">
      <c r="A85" s="376" t="s">
        <v>72</v>
      </c>
      <c r="B85" s="377">
        <v>80</v>
      </c>
      <c r="C85" s="377" t="s">
        <v>40</v>
      </c>
      <c r="D85" s="378"/>
      <c r="E85" s="378">
        <v>26.98</v>
      </c>
      <c r="F85" s="377">
        <v>24.26</v>
      </c>
      <c r="G85" s="378">
        <v>26.95</v>
      </c>
      <c r="H85" s="377">
        <v>24.27</v>
      </c>
      <c r="I85" s="379">
        <f t="shared" si="21"/>
        <v>2.72</v>
      </c>
      <c r="J85" s="380">
        <f t="shared" si="11"/>
        <v>2.68</v>
      </c>
      <c r="K85" s="381">
        <f t="shared" si="12"/>
        <v>3.8</v>
      </c>
      <c r="L85" s="382">
        <v>6</v>
      </c>
      <c r="M85" s="379">
        <f t="shared" si="15"/>
        <v>0</v>
      </c>
      <c r="N85" s="378">
        <f t="shared" si="13"/>
        <v>0</v>
      </c>
      <c r="O85" s="378">
        <f t="shared" si="17"/>
        <v>0</v>
      </c>
      <c r="P85" s="383">
        <f t="shared" si="18"/>
        <v>0</v>
      </c>
      <c r="Q85" s="378">
        <f t="shared" si="19"/>
        <v>0</v>
      </c>
      <c r="R85" s="378"/>
      <c r="S85" s="378">
        <f t="shared" si="14"/>
        <v>0</v>
      </c>
      <c r="T85" s="378">
        <v>0.5</v>
      </c>
      <c r="U85" s="378">
        <f t="shared" si="20"/>
        <v>0</v>
      </c>
    </row>
    <row r="86" spans="1:21" ht="30" customHeight="1">
      <c r="A86" s="376" t="s">
        <v>73</v>
      </c>
      <c r="B86" s="377">
        <v>80</v>
      </c>
      <c r="C86" s="377" t="s">
        <v>40</v>
      </c>
      <c r="D86" s="378"/>
      <c r="E86" s="378">
        <v>26.95</v>
      </c>
      <c r="F86" s="377">
        <v>24.24</v>
      </c>
      <c r="G86" s="378">
        <v>26.92</v>
      </c>
      <c r="H86" s="377">
        <v>24.24</v>
      </c>
      <c r="I86" s="379">
        <f t="shared" si="21"/>
        <v>2.71</v>
      </c>
      <c r="J86" s="380">
        <f t="shared" si="11"/>
        <v>2.68</v>
      </c>
      <c r="K86" s="381">
        <f t="shared" si="12"/>
        <v>3.8</v>
      </c>
      <c r="L86" s="382">
        <v>6</v>
      </c>
      <c r="M86" s="379">
        <f t="shared" si="15"/>
        <v>0</v>
      </c>
      <c r="N86" s="378">
        <f t="shared" si="13"/>
        <v>0</v>
      </c>
      <c r="O86" s="378">
        <f t="shared" si="17"/>
        <v>0</v>
      </c>
      <c r="P86" s="383">
        <f t="shared" si="18"/>
        <v>0</v>
      </c>
      <c r="Q86" s="378">
        <f t="shared" si="19"/>
        <v>0</v>
      </c>
      <c r="R86" s="378"/>
      <c r="S86" s="378">
        <f t="shared" si="14"/>
        <v>0</v>
      </c>
      <c r="T86" s="378">
        <v>0.5</v>
      </c>
      <c r="U86" s="378">
        <f t="shared" si="20"/>
        <v>0</v>
      </c>
    </row>
    <row r="87" spans="1:21" s="468" customFormat="1" ht="30" customHeight="1">
      <c r="A87" s="558" t="s">
        <v>74</v>
      </c>
      <c r="B87" s="559">
        <v>80</v>
      </c>
      <c r="C87" s="559" t="s">
        <v>40</v>
      </c>
      <c r="D87" s="560"/>
      <c r="E87" s="560">
        <v>26.92</v>
      </c>
      <c r="F87" s="559">
        <v>24.23</v>
      </c>
      <c r="G87" s="560">
        <v>26.64</v>
      </c>
      <c r="H87" s="559">
        <v>23.96</v>
      </c>
      <c r="I87" s="561">
        <f t="shared" si="21"/>
        <v>2.69</v>
      </c>
      <c r="J87" s="560">
        <f t="shared" si="11"/>
        <v>2.68</v>
      </c>
      <c r="K87" s="561">
        <f t="shared" si="12"/>
        <v>3.79</v>
      </c>
      <c r="L87" s="562">
        <v>6</v>
      </c>
      <c r="M87" s="561">
        <f t="shared" si="15"/>
        <v>0</v>
      </c>
      <c r="N87" s="560">
        <f t="shared" si="13"/>
        <v>0</v>
      </c>
      <c r="O87" s="560">
        <f t="shared" si="17"/>
        <v>0</v>
      </c>
      <c r="P87" s="560">
        <f t="shared" si="18"/>
        <v>0</v>
      </c>
      <c r="Q87" s="560">
        <f t="shared" si="19"/>
        <v>0</v>
      </c>
      <c r="R87" s="560"/>
      <c r="S87" s="560">
        <f t="shared" si="14"/>
        <v>0</v>
      </c>
      <c r="T87" s="560">
        <v>0.5</v>
      </c>
      <c r="U87" s="560">
        <f t="shared" si="20"/>
        <v>0</v>
      </c>
    </row>
    <row r="88" spans="1:21" ht="30" customHeight="1">
      <c r="A88" s="376" t="s">
        <v>75</v>
      </c>
      <c r="B88" s="377">
        <v>80</v>
      </c>
      <c r="C88" s="377" t="s">
        <v>40</v>
      </c>
      <c r="D88" s="378"/>
      <c r="E88" s="378">
        <v>26.64</v>
      </c>
      <c r="F88" s="377">
        <v>22.96</v>
      </c>
      <c r="G88" s="378">
        <v>25.43</v>
      </c>
      <c r="H88" s="377">
        <v>22.75</v>
      </c>
      <c r="I88" s="379">
        <f t="shared" si="21"/>
        <v>3.68</v>
      </c>
      <c r="J88" s="380">
        <f t="shared" si="11"/>
        <v>2.68</v>
      </c>
      <c r="K88" s="381">
        <f t="shared" si="12"/>
        <v>4.28</v>
      </c>
      <c r="L88" s="382">
        <v>6</v>
      </c>
      <c r="M88" s="379">
        <f t="shared" si="15"/>
        <v>0</v>
      </c>
      <c r="N88" s="378">
        <f t="shared" si="13"/>
        <v>0</v>
      </c>
      <c r="O88" s="378">
        <f t="shared" si="17"/>
        <v>0</v>
      </c>
      <c r="P88" s="383">
        <f t="shared" si="18"/>
        <v>0</v>
      </c>
      <c r="Q88" s="378">
        <f t="shared" si="19"/>
        <v>0</v>
      </c>
      <c r="R88" s="378"/>
      <c r="S88" s="378">
        <f t="shared" si="14"/>
        <v>0</v>
      </c>
      <c r="T88" s="378">
        <v>0.5</v>
      </c>
      <c r="U88" s="378">
        <f t="shared" si="20"/>
        <v>0</v>
      </c>
    </row>
    <row r="89" spans="1:21" ht="30" customHeight="1">
      <c r="A89" s="376" t="s">
        <v>76</v>
      </c>
      <c r="B89" s="377">
        <v>80</v>
      </c>
      <c r="C89" s="377" t="s">
        <v>40</v>
      </c>
      <c r="D89" s="378"/>
      <c r="E89" s="378">
        <v>25.43</v>
      </c>
      <c r="F89" s="377">
        <v>22.74</v>
      </c>
      <c r="G89" s="378">
        <v>25.29</v>
      </c>
      <c r="H89" s="377">
        <v>22.61</v>
      </c>
      <c r="I89" s="379">
        <f t="shared" si="21"/>
        <v>2.69</v>
      </c>
      <c r="J89" s="380">
        <f t="shared" si="11"/>
        <v>2.68</v>
      </c>
      <c r="K89" s="381">
        <f t="shared" si="12"/>
        <v>3.79</v>
      </c>
      <c r="L89" s="382">
        <v>6</v>
      </c>
      <c r="M89" s="379">
        <f t="shared" si="15"/>
        <v>0</v>
      </c>
      <c r="N89" s="378">
        <f t="shared" si="13"/>
        <v>0</v>
      </c>
      <c r="O89" s="378">
        <f t="shared" si="17"/>
        <v>0</v>
      </c>
      <c r="P89" s="383">
        <f t="shared" si="18"/>
        <v>0</v>
      </c>
      <c r="Q89" s="378">
        <f t="shared" si="19"/>
        <v>0</v>
      </c>
      <c r="R89" s="378"/>
      <c r="S89" s="378">
        <f t="shared" si="14"/>
        <v>0</v>
      </c>
      <c r="T89" s="378">
        <v>0.5</v>
      </c>
      <c r="U89" s="378">
        <f t="shared" si="20"/>
        <v>0</v>
      </c>
    </row>
    <row r="90" spans="1:21" ht="30" customHeight="1">
      <c r="A90" s="376" t="s">
        <v>77</v>
      </c>
      <c r="B90" s="377">
        <v>80</v>
      </c>
      <c r="C90" s="377" t="s">
        <v>40</v>
      </c>
      <c r="D90" s="378"/>
      <c r="E90" s="378">
        <v>25.29</v>
      </c>
      <c r="F90" s="377">
        <v>22.6</v>
      </c>
      <c r="G90" s="378">
        <v>25.19</v>
      </c>
      <c r="H90" s="377">
        <v>22.52</v>
      </c>
      <c r="I90" s="379">
        <f t="shared" si="21"/>
        <v>2.69</v>
      </c>
      <c r="J90" s="380">
        <f t="shared" si="11"/>
        <v>2.67</v>
      </c>
      <c r="K90" s="381">
        <f t="shared" si="12"/>
        <v>3.78</v>
      </c>
      <c r="L90" s="382">
        <v>6</v>
      </c>
      <c r="M90" s="379">
        <f t="shared" si="15"/>
        <v>0</v>
      </c>
      <c r="N90" s="378">
        <f t="shared" si="13"/>
        <v>0</v>
      </c>
      <c r="O90" s="378">
        <f t="shared" si="17"/>
        <v>0</v>
      </c>
      <c r="P90" s="383">
        <f t="shared" si="18"/>
        <v>0</v>
      </c>
      <c r="Q90" s="378">
        <f t="shared" si="19"/>
        <v>0</v>
      </c>
      <c r="R90" s="378"/>
      <c r="S90" s="378">
        <f t="shared" si="14"/>
        <v>0</v>
      </c>
      <c r="T90" s="378">
        <v>0.5</v>
      </c>
      <c r="U90" s="378">
        <f t="shared" si="20"/>
        <v>0</v>
      </c>
    </row>
    <row r="91" spans="1:21" ht="30" customHeight="1">
      <c r="A91" s="376" t="s">
        <v>78</v>
      </c>
      <c r="B91" s="377">
        <v>80</v>
      </c>
      <c r="C91" s="377" t="s">
        <v>40</v>
      </c>
      <c r="D91" s="378"/>
      <c r="E91" s="378">
        <v>25.19</v>
      </c>
      <c r="F91" s="377">
        <v>21.52</v>
      </c>
      <c r="G91" s="378">
        <v>24.16</v>
      </c>
      <c r="H91" s="377">
        <v>21.48</v>
      </c>
      <c r="I91" s="379">
        <f t="shared" si="21"/>
        <v>3.67</v>
      </c>
      <c r="J91" s="380">
        <f t="shared" si="11"/>
        <v>2.68</v>
      </c>
      <c r="K91" s="381">
        <f t="shared" si="12"/>
        <v>4.28</v>
      </c>
      <c r="L91" s="382">
        <v>6</v>
      </c>
      <c r="M91" s="379">
        <f t="shared" si="15"/>
        <v>0</v>
      </c>
      <c r="N91" s="378">
        <f t="shared" si="13"/>
        <v>0</v>
      </c>
      <c r="O91" s="378">
        <f t="shared" si="17"/>
        <v>0</v>
      </c>
      <c r="P91" s="383">
        <f t="shared" si="18"/>
        <v>0</v>
      </c>
      <c r="Q91" s="378">
        <f t="shared" si="19"/>
        <v>0</v>
      </c>
      <c r="R91" s="378"/>
      <c r="S91" s="378">
        <f t="shared" si="14"/>
        <v>0</v>
      </c>
      <c r="T91" s="378">
        <v>0.5</v>
      </c>
      <c r="U91" s="378">
        <f t="shared" si="20"/>
        <v>0</v>
      </c>
    </row>
    <row r="92" spans="1:21" ht="30" customHeight="1">
      <c r="A92" s="376" t="s">
        <v>79</v>
      </c>
      <c r="B92" s="377">
        <v>80</v>
      </c>
      <c r="C92" s="377" t="s">
        <v>40</v>
      </c>
      <c r="D92" s="378"/>
      <c r="E92" s="378">
        <v>24.16</v>
      </c>
      <c r="F92" s="377">
        <v>20.48</v>
      </c>
      <c r="G92" s="378">
        <v>23.13</v>
      </c>
      <c r="H92" s="377">
        <v>20.45</v>
      </c>
      <c r="I92" s="379">
        <f t="shared" si="21"/>
        <v>3.68</v>
      </c>
      <c r="J92" s="380">
        <f t="shared" si="11"/>
        <v>2.68</v>
      </c>
      <c r="K92" s="381">
        <f t="shared" si="12"/>
        <v>4.28</v>
      </c>
      <c r="L92" s="382">
        <v>6</v>
      </c>
      <c r="M92" s="379">
        <f t="shared" si="15"/>
        <v>0</v>
      </c>
      <c r="N92" s="378">
        <f t="shared" si="13"/>
        <v>0</v>
      </c>
      <c r="O92" s="378">
        <f t="shared" si="17"/>
        <v>0</v>
      </c>
      <c r="P92" s="383">
        <f t="shared" si="18"/>
        <v>0</v>
      </c>
      <c r="Q92" s="378">
        <f t="shared" si="19"/>
        <v>0</v>
      </c>
      <c r="R92" s="378"/>
      <c r="S92" s="378">
        <f t="shared" si="14"/>
        <v>0</v>
      </c>
      <c r="T92" s="378">
        <v>0.5</v>
      </c>
      <c r="U92" s="378">
        <f t="shared" si="20"/>
        <v>0</v>
      </c>
    </row>
    <row r="93" spans="1:21" ht="30" customHeight="1">
      <c r="A93" s="376" t="s">
        <v>80</v>
      </c>
      <c r="B93" s="377">
        <v>80</v>
      </c>
      <c r="C93" s="377" t="s">
        <v>40</v>
      </c>
      <c r="D93" s="378"/>
      <c r="E93" s="378">
        <v>23.13</v>
      </c>
      <c r="F93" s="377">
        <v>19.45</v>
      </c>
      <c r="G93" s="378">
        <v>22.04</v>
      </c>
      <c r="H93" s="377">
        <v>19.37</v>
      </c>
      <c r="I93" s="379">
        <f t="shared" si="21"/>
        <v>3.68</v>
      </c>
      <c r="J93" s="380">
        <f t="shared" si="11"/>
        <v>2.67</v>
      </c>
      <c r="K93" s="381">
        <f t="shared" si="12"/>
        <v>4.28</v>
      </c>
      <c r="L93" s="382">
        <v>6</v>
      </c>
      <c r="M93" s="379">
        <f t="shared" si="15"/>
        <v>0</v>
      </c>
      <c r="N93" s="378">
        <f t="shared" si="13"/>
        <v>0</v>
      </c>
      <c r="O93" s="378">
        <f t="shared" si="17"/>
        <v>0</v>
      </c>
      <c r="P93" s="383">
        <f t="shared" si="18"/>
        <v>0</v>
      </c>
      <c r="Q93" s="378">
        <f t="shared" si="19"/>
        <v>0</v>
      </c>
      <c r="R93" s="378"/>
      <c r="S93" s="378">
        <f t="shared" si="14"/>
        <v>0</v>
      </c>
      <c r="T93" s="378">
        <v>0.5</v>
      </c>
      <c r="U93" s="378">
        <f t="shared" si="20"/>
        <v>0</v>
      </c>
    </row>
    <row r="94" spans="1:21" ht="30" customHeight="1">
      <c r="A94" s="376" t="s">
        <v>81</v>
      </c>
      <c r="B94" s="377">
        <v>80</v>
      </c>
      <c r="C94" s="377" t="s">
        <v>40</v>
      </c>
      <c r="D94" s="378"/>
      <c r="E94" s="378">
        <v>22.04</v>
      </c>
      <c r="F94" s="377">
        <v>19.37</v>
      </c>
      <c r="G94" s="378">
        <v>22</v>
      </c>
      <c r="H94" s="377">
        <v>19.32</v>
      </c>
      <c r="I94" s="379">
        <f t="shared" si="21"/>
        <v>2.67</v>
      </c>
      <c r="J94" s="380">
        <f t="shared" si="11"/>
        <v>2.68</v>
      </c>
      <c r="K94" s="381">
        <f t="shared" si="12"/>
        <v>3.78</v>
      </c>
      <c r="L94" s="382">
        <v>6</v>
      </c>
      <c r="M94" s="379">
        <f t="shared" si="15"/>
        <v>0</v>
      </c>
      <c r="N94" s="378">
        <f t="shared" si="13"/>
        <v>0</v>
      </c>
      <c r="O94" s="378">
        <f t="shared" si="17"/>
        <v>0</v>
      </c>
      <c r="P94" s="383">
        <f t="shared" si="18"/>
        <v>0</v>
      </c>
      <c r="Q94" s="378">
        <f t="shared" si="19"/>
        <v>0</v>
      </c>
      <c r="R94" s="378"/>
      <c r="S94" s="378">
        <f t="shared" si="14"/>
        <v>0</v>
      </c>
      <c r="T94" s="378">
        <v>0.5</v>
      </c>
      <c r="U94" s="378">
        <f t="shared" si="20"/>
        <v>0</v>
      </c>
    </row>
    <row r="95" spans="1:21" ht="30" customHeight="1">
      <c r="A95" s="376" t="s">
        <v>82</v>
      </c>
      <c r="B95" s="377">
        <v>80</v>
      </c>
      <c r="C95" s="377" t="s">
        <v>40</v>
      </c>
      <c r="D95" s="378"/>
      <c r="E95" s="378">
        <v>22</v>
      </c>
      <c r="F95" s="377">
        <v>19.309999999999999</v>
      </c>
      <c r="G95" s="378">
        <v>21.97</v>
      </c>
      <c r="H95" s="377">
        <v>19.29</v>
      </c>
      <c r="I95" s="379">
        <f t="shared" si="21"/>
        <v>2.69</v>
      </c>
      <c r="J95" s="380">
        <f t="shared" si="11"/>
        <v>2.68</v>
      </c>
      <c r="K95" s="381">
        <f t="shared" si="12"/>
        <v>3.79</v>
      </c>
      <c r="L95" s="382">
        <v>6</v>
      </c>
      <c r="M95" s="379">
        <f t="shared" si="15"/>
        <v>0</v>
      </c>
      <c r="N95" s="378">
        <f t="shared" si="13"/>
        <v>0</v>
      </c>
      <c r="O95" s="378">
        <f t="shared" si="17"/>
        <v>0</v>
      </c>
      <c r="P95" s="383">
        <f t="shared" si="18"/>
        <v>0</v>
      </c>
      <c r="Q95" s="378">
        <f t="shared" si="19"/>
        <v>0</v>
      </c>
      <c r="R95" s="378"/>
      <c r="S95" s="378">
        <f t="shared" si="14"/>
        <v>0</v>
      </c>
      <c r="T95" s="378">
        <v>0.5</v>
      </c>
      <c r="U95" s="378">
        <f t="shared" si="20"/>
        <v>0</v>
      </c>
    </row>
    <row r="96" spans="1:21" ht="30" customHeight="1">
      <c r="A96" s="376" t="s">
        <v>83</v>
      </c>
      <c r="B96" s="377">
        <v>80</v>
      </c>
      <c r="C96" s="377" t="s">
        <v>40</v>
      </c>
      <c r="D96" s="378"/>
      <c r="E96" s="378">
        <v>21.97</v>
      </c>
      <c r="F96" s="377">
        <v>19.28</v>
      </c>
      <c r="G96" s="378">
        <v>21.89</v>
      </c>
      <c r="H96" s="377">
        <v>19.21</v>
      </c>
      <c r="I96" s="379">
        <f t="shared" si="21"/>
        <v>2.69</v>
      </c>
      <c r="J96" s="380">
        <f t="shared" si="11"/>
        <v>2.68</v>
      </c>
      <c r="K96" s="381">
        <f t="shared" si="12"/>
        <v>3.79</v>
      </c>
      <c r="L96" s="382">
        <v>6</v>
      </c>
      <c r="M96" s="379">
        <f t="shared" si="15"/>
        <v>0</v>
      </c>
      <c r="N96" s="378">
        <f t="shared" si="13"/>
        <v>0</v>
      </c>
      <c r="O96" s="378">
        <f t="shared" si="17"/>
        <v>0</v>
      </c>
      <c r="P96" s="383">
        <f t="shared" si="18"/>
        <v>0</v>
      </c>
      <c r="Q96" s="378">
        <f t="shared" si="19"/>
        <v>0</v>
      </c>
      <c r="R96" s="378"/>
      <c r="S96" s="378">
        <f t="shared" si="14"/>
        <v>0</v>
      </c>
      <c r="T96" s="378">
        <v>0.5</v>
      </c>
      <c r="U96" s="378">
        <f t="shared" si="20"/>
        <v>0</v>
      </c>
    </row>
    <row r="97" spans="1:21" ht="30" customHeight="1">
      <c r="A97" s="376" t="s">
        <v>84</v>
      </c>
      <c r="B97" s="377">
        <v>80</v>
      </c>
      <c r="C97" s="377" t="s">
        <v>40</v>
      </c>
      <c r="D97" s="378"/>
      <c r="E97" s="378">
        <v>21.89</v>
      </c>
      <c r="F97" s="377">
        <v>19.2</v>
      </c>
      <c r="G97" s="378">
        <v>21.83</v>
      </c>
      <c r="H97" s="377">
        <v>19.149999999999999</v>
      </c>
      <c r="I97" s="379">
        <f t="shared" si="21"/>
        <v>2.69</v>
      </c>
      <c r="J97" s="380">
        <f t="shared" si="11"/>
        <v>2.68</v>
      </c>
      <c r="K97" s="381">
        <f t="shared" si="12"/>
        <v>3.79</v>
      </c>
      <c r="L97" s="382">
        <v>6</v>
      </c>
      <c r="M97" s="379">
        <f t="shared" si="15"/>
        <v>0</v>
      </c>
      <c r="N97" s="378">
        <f t="shared" si="13"/>
        <v>0</v>
      </c>
      <c r="O97" s="378">
        <f t="shared" si="17"/>
        <v>0</v>
      </c>
      <c r="P97" s="383">
        <f t="shared" si="18"/>
        <v>0</v>
      </c>
      <c r="Q97" s="378">
        <f t="shared" si="19"/>
        <v>0</v>
      </c>
      <c r="R97" s="378"/>
      <c r="S97" s="378">
        <f t="shared" si="14"/>
        <v>0</v>
      </c>
      <c r="T97" s="378">
        <v>0.5</v>
      </c>
      <c r="U97" s="378">
        <f t="shared" si="20"/>
        <v>0</v>
      </c>
    </row>
    <row r="98" spans="1:21" ht="30" customHeight="1">
      <c r="A98" s="376" t="s">
        <v>85</v>
      </c>
      <c r="B98" s="377">
        <v>80</v>
      </c>
      <c r="C98" s="377" t="s">
        <v>40</v>
      </c>
      <c r="D98" s="378"/>
      <c r="E98" s="378">
        <v>21.89</v>
      </c>
      <c r="F98" s="377">
        <v>19.2</v>
      </c>
      <c r="G98" s="378">
        <v>21.83</v>
      </c>
      <c r="H98" s="377">
        <v>19.12</v>
      </c>
      <c r="I98" s="379">
        <f t="shared" si="21"/>
        <v>2.69</v>
      </c>
      <c r="J98" s="380">
        <f t="shared" si="11"/>
        <v>2.71</v>
      </c>
      <c r="K98" s="381">
        <f t="shared" si="12"/>
        <v>3.8</v>
      </c>
      <c r="L98" s="382">
        <v>6</v>
      </c>
      <c r="M98" s="379">
        <f t="shared" si="15"/>
        <v>0</v>
      </c>
      <c r="N98" s="378">
        <f t="shared" si="13"/>
        <v>0</v>
      </c>
      <c r="O98" s="378">
        <f t="shared" si="17"/>
        <v>0</v>
      </c>
      <c r="P98" s="383">
        <f t="shared" si="18"/>
        <v>0</v>
      </c>
      <c r="Q98" s="378">
        <f t="shared" si="19"/>
        <v>0</v>
      </c>
      <c r="R98" s="378"/>
      <c r="S98" s="378">
        <f t="shared" si="14"/>
        <v>0</v>
      </c>
      <c r="T98" s="378">
        <v>0.5</v>
      </c>
      <c r="U98" s="378">
        <f t="shared" si="20"/>
        <v>0</v>
      </c>
    </row>
    <row r="99" spans="1:21" ht="30" customHeight="1">
      <c r="A99" s="376"/>
      <c r="B99" s="377"/>
      <c r="C99" s="377"/>
      <c r="D99" s="378"/>
      <c r="E99" s="378"/>
      <c r="F99" s="378"/>
      <c r="G99" s="378"/>
      <c r="H99" s="377"/>
      <c r="I99" s="379"/>
      <c r="J99" s="380"/>
      <c r="K99" s="381"/>
      <c r="L99" s="382"/>
      <c r="M99" s="379"/>
      <c r="N99" s="378"/>
      <c r="O99" s="378"/>
      <c r="P99" s="383"/>
      <c r="Q99" s="378"/>
      <c r="R99" s="378"/>
      <c r="S99" s="378"/>
      <c r="T99" s="378"/>
      <c r="U99" s="378"/>
    </row>
    <row r="100" spans="1:21" ht="30" customHeight="1">
      <c r="A100" s="376" t="s">
        <v>86</v>
      </c>
      <c r="B100" s="377">
        <v>12</v>
      </c>
      <c r="C100" s="377" t="s">
        <v>17</v>
      </c>
      <c r="D100" s="378">
        <v>2852.35</v>
      </c>
      <c r="E100" s="378"/>
      <c r="F100" s="378"/>
      <c r="G100" s="378"/>
      <c r="H100" s="377"/>
      <c r="I100" s="379">
        <f t="shared" ref="I100" si="22">+(E100-F100)</f>
        <v>0</v>
      </c>
      <c r="J100" s="380">
        <f>+(G100-H100)</f>
        <v>0</v>
      </c>
      <c r="K100" s="381">
        <v>4.5</v>
      </c>
      <c r="L100" s="382">
        <v>0.7</v>
      </c>
      <c r="M100" s="379">
        <f>(L100*K100*D100)</f>
        <v>8984.9</v>
      </c>
      <c r="N100" s="378">
        <f>(L100*D100*0.1)</f>
        <v>199.66</v>
      </c>
      <c r="O100" s="378">
        <f>((((B100*2.54)/100)*((B100*2.54)/100)*3.14)/4)*D100</f>
        <v>208.02</v>
      </c>
      <c r="P100" s="383">
        <f t="shared" ref="P100" si="23">+M100-(N100+O100)</f>
        <v>8577.2199999999993</v>
      </c>
      <c r="Q100" s="378">
        <f>(L100*D100*((B100*2.54/100)+0.3)-O100)*1.2</f>
        <v>1199.46</v>
      </c>
      <c r="R100" s="378"/>
      <c r="S100" s="378">
        <f t="shared" ref="S100" si="24">+(N100+O100+Q100/1.2)*1.3</f>
        <v>1829.4</v>
      </c>
      <c r="T100" s="378">
        <v>0.5</v>
      </c>
      <c r="U100" s="378">
        <f>+D100*L100*T100</f>
        <v>998.32</v>
      </c>
    </row>
    <row r="101" spans="1:21" ht="30" customHeight="1">
      <c r="A101" s="376"/>
      <c r="B101" s="377"/>
      <c r="C101" s="377"/>
      <c r="D101" s="378"/>
      <c r="E101" s="378"/>
      <c r="F101" s="378"/>
      <c r="G101" s="378"/>
      <c r="H101" s="377"/>
      <c r="I101" s="379"/>
      <c r="J101" s="380"/>
      <c r="K101" s="381"/>
      <c r="L101" s="382"/>
      <c r="M101" s="379"/>
      <c r="N101" s="378"/>
      <c r="O101" s="378"/>
      <c r="P101" s="383"/>
      <c r="Q101" s="378"/>
      <c r="R101" s="378"/>
      <c r="S101" s="378"/>
      <c r="T101" s="378"/>
      <c r="U101" s="378"/>
    </row>
    <row r="102" spans="1:21" ht="30" customHeight="1">
      <c r="A102" s="376" t="s">
        <v>87</v>
      </c>
      <c r="B102" s="377"/>
      <c r="C102" s="377"/>
      <c r="D102" s="378">
        <v>0</v>
      </c>
      <c r="E102" s="378"/>
      <c r="F102" s="378"/>
      <c r="G102" s="378"/>
      <c r="H102" s="377"/>
      <c r="I102" s="379">
        <f t="shared" ref="I102:I103" si="25">+(E102-F102)</f>
        <v>0</v>
      </c>
      <c r="J102" s="380">
        <f>+(G102-H102)</f>
        <v>0</v>
      </c>
      <c r="K102" s="381">
        <v>3.5</v>
      </c>
      <c r="L102" s="379">
        <v>4.5</v>
      </c>
      <c r="M102" s="379">
        <f>(L102*K102*D102)</f>
        <v>0</v>
      </c>
      <c r="N102" s="378"/>
      <c r="O102" s="378">
        <f>+D102*3*2.5</f>
        <v>0</v>
      </c>
      <c r="P102" s="383">
        <f>+M102-(N102+O102)</f>
        <v>0</v>
      </c>
      <c r="Q102" s="378"/>
      <c r="R102" s="378"/>
      <c r="S102" s="378">
        <f>+P102*1.3</f>
        <v>0</v>
      </c>
      <c r="T102" s="378">
        <v>0.5</v>
      </c>
      <c r="U102" s="378">
        <f>+D102*L102*T102</f>
        <v>0</v>
      </c>
    </row>
    <row r="103" spans="1:21" ht="30" customHeight="1">
      <c r="A103" s="376" t="s">
        <v>88</v>
      </c>
      <c r="B103" s="377"/>
      <c r="C103" s="377"/>
      <c r="D103" s="378">
        <v>1500</v>
      </c>
      <c r="E103" s="378"/>
      <c r="F103" s="378"/>
      <c r="G103" s="378"/>
      <c r="H103" s="377"/>
      <c r="I103" s="379">
        <f t="shared" si="25"/>
        <v>0</v>
      </c>
      <c r="J103" s="380">
        <f>+(G103-H103)</f>
        <v>0</v>
      </c>
      <c r="K103" s="381">
        <v>3.5</v>
      </c>
      <c r="L103" s="379">
        <v>6</v>
      </c>
      <c r="M103" s="379">
        <f>(L103*K103*D103)</f>
        <v>31500</v>
      </c>
      <c r="N103" s="378"/>
      <c r="O103" s="378">
        <f>+D103*4.75*2.5</f>
        <v>17812.5</v>
      </c>
      <c r="P103" s="383">
        <f>+M103-(N103+O103)</f>
        <v>13687.5</v>
      </c>
      <c r="Q103" s="378"/>
      <c r="R103" s="378"/>
      <c r="S103" s="378">
        <f>+P103*1.3</f>
        <v>17793.75</v>
      </c>
      <c r="T103" s="378">
        <v>0.5</v>
      </c>
      <c r="U103" s="378">
        <f>+D103*L103*T103</f>
        <v>4500</v>
      </c>
    </row>
    <row r="104" spans="1:21" ht="30" customHeight="1" thickBot="1">
      <c r="A104" s="376"/>
      <c r="B104" s="377"/>
      <c r="C104" s="377"/>
      <c r="D104" s="378"/>
      <c r="E104" s="378"/>
      <c r="F104" s="378"/>
      <c r="G104" s="378"/>
      <c r="H104" s="377"/>
      <c r="I104" s="379"/>
      <c r="J104" s="380"/>
      <c r="K104" s="381"/>
      <c r="L104" s="382"/>
      <c r="M104" s="379">
        <f t="shared" ref="M104" si="26">(L104*K104*D104)</f>
        <v>0</v>
      </c>
      <c r="N104" s="378">
        <f t="shared" si="13"/>
        <v>0</v>
      </c>
      <c r="O104" s="378">
        <f t="shared" ref="O104" si="27">((((B104*2.54)/100)*((B104*2.54)/100)*3.14)/4)*D104</f>
        <v>0</v>
      </c>
      <c r="P104" s="383">
        <f t="shared" ref="P104" si="28">+M104-(N104+O104)</f>
        <v>0</v>
      </c>
      <c r="Q104" s="378">
        <f t="shared" ref="Q104" si="29">(L104*D104*((B104*2.54/100)+0.3)-O104)*1.2</f>
        <v>0</v>
      </c>
      <c r="R104" s="378"/>
      <c r="S104" s="378">
        <f t="shared" ref="S104:U104" si="30">+(N104+O104+Q104/1.2)*1.3</f>
        <v>0</v>
      </c>
      <c r="T104" s="378"/>
      <c r="U104" s="378">
        <f t="shared" si="30"/>
        <v>0</v>
      </c>
    </row>
    <row r="105" spans="1:21" ht="32.25" customHeight="1" thickTop="1" thickBot="1">
      <c r="A105" s="36"/>
      <c r="B105" s="9" t="s">
        <v>18</v>
      </c>
      <c r="C105" s="10"/>
      <c r="D105" s="11"/>
      <c r="E105" s="11"/>
      <c r="F105" s="11"/>
      <c r="G105" s="11"/>
      <c r="H105" s="12"/>
      <c r="I105" s="12"/>
      <c r="J105" s="41"/>
      <c r="K105" s="12"/>
      <c r="L105" s="12"/>
      <c r="M105" s="11">
        <f t="shared" ref="M105:S105" si="31">SUM(M53:M104)</f>
        <v>40484.9</v>
      </c>
      <c r="N105" s="11">
        <f t="shared" si="31"/>
        <v>199.66</v>
      </c>
      <c r="O105" s="11">
        <f t="shared" si="31"/>
        <v>18020.52</v>
      </c>
      <c r="P105" s="11">
        <f t="shared" si="31"/>
        <v>22264.720000000001</v>
      </c>
      <c r="Q105" s="11">
        <f t="shared" si="31"/>
        <v>1199.46</v>
      </c>
      <c r="R105" s="11">
        <f t="shared" si="31"/>
        <v>0</v>
      </c>
      <c r="S105" s="11">
        <f t="shared" si="31"/>
        <v>19623.150000000001</v>
      </c>
      <c r="T105" s="11"/>
      <c r="U105" s="11">
        <f>SUM(U53:U104)</f>
        <v>5498.32</v>
      </c>
    </row>
    <row r="106" spans="1:21" ht="32.25" customHeight="1" thickTop="1">
      <c r="A106" s="37"/>
      <c r="B106" s="13"/>
      <c r="C106" s="13"/>
      <c r="D106" s="14"/>
      <c r="E106" s="14"/>
      <c r="F106" s="14"/>
      <c r="G106" s="14"/>
      <c r="H106" s="15"/>
      <c r="I106" s="15"/>
      <c r="J106" s="42"/>
      <c r="K106" s="15"/>
      <c r="L106" s="15"/>
      <c r="M106" s="15"/>
      <c r="N106" s="15"/>
      <c r="O106" s="15"/>
      <c r="P106" s="15"/>
      <c r="Q106" s="15"/>
      <c r="R106" s="15"/>
      <c r="S106" s="15"/>
      <c r="T106" s="54"/>
      <c r="U106" s="54"/>
    </row>
    <row r="107" spans="1:21" ht="32.25" customHeight="1">
      <c r="A107" s="37"/>
      <c r="B107" s="13"/>
      <c r="C107" s="563" t="s">
        <v>89</v>
      </c>
      <c r="D107" s="563"/>
      <c r="E107" s="563"/>
      <c r="F107" s="14"/>
      <c r="G107" s="14"/>
      <c r="H107" s="15"/>
      <c r="I107" s="15"/>
      <c r="J107" s="42"/>
      <c r="K107" s="15"/>
      <c r="L107" s="15"/>
      <c r="M107" s="15" t="s">
        <v>90</v>
      </c>
      <c r="N107" s="15"/>
      <c r="O107" s="15">
        <f>SUM(O53:O58)</f>
        <v>0</v>
      </c>
      <c r="P107" s="15"/>
      <c r="Q107" s="15"/>
      <c r="R107" s="15"/>
      <c r="S107" s="15"/>
      <c r="T107" s="54"/>
      <c r="U107" s="54"/>
    </row>
    <row r="108" spans="1:21" ht="32.25" customHeight="1" thickBot="1">
      <c r="A108" s="37"/>
      <c r="B108" s="13"/>
      <c r="C108" s="563"/>
      <c r="D108" s="563"/>
      <c r="E108" s="563"/>
      <c r="F108" s="14"/>
      <c r="G108" s="14"/>
      <c r="H108" s="15"/>
      <c r="I108" s="15"/>
      <c r="J108" s="42"/>
      <c r="K108" s="15"/>
      <c r="L108" s="15"/>
      <c r="M108" s="15" t="s">
        <v>91</v>
      </c>
      <c r="N108" s="15"/>
      <c r="O108" s="15">
        <f>SUM(O59:O99)</f>
        <v>0</v>
      </c>
      <c r="P108" s="15"/>
      <c r="Q108" s="15">
        <f>+P102*1.3</f>
        <v>0</v>
      </c>
      <c r="R108" s="15"/>
      <c r="S108" s="15"/>
      <c r="T108" s="54"/>
      <c r="U108" s="54"/>
    </row>
    <row r="109" spans="1:21" ht="32.25" customHeight="1" thickTop="1" thickBot="1">
      <c r="A109" s="37"/>
      <c r="B109" s="13"/>
      <c r="C109" s="377"/>
      <c r="D109" s="20">
        <f>SUM(D53:D61)</f>
        <v>0</v>
      </c>
      <c r="E109" s="378"/>
      <c r="F109" s="14"/>
      <c r="G109" s="14"/>
      <c r="H109" s="15"/>
      <c r="I109" s="15"/>
      <c r="J109" s="42"/>
      <c r="K109" s="15"/>
      <c r="L109" s="15"/>
      <c r="M109" s="15" t="s">
        <v>92</v>
      </c>
      <c r="N109" s="15"/>
      <c r="O109" s="15">
        <f>+O100</f>
        <v>208.02</v>
      </c>
      <c r="P109" s="15"/>
      <c r="Q109" s="15"/>
      <c r="R109" s="15"/>
      <c r="S109" s="15"/>
      <c r="T109" s="54"/>
      <c r="U109" s="54"/>
    </row>
    <row r="110" spans="1:21" ht="32.25" customHeight="1" thickTop="1">
      <c r="A110" s="37"/>
      <c r="B110" s="13"/>
      <c r="C110" s="563" t="s">
        <v>93</v>
      </c>
      <c r="D110" s="563"/>
      <c r="E110" s="563"/>
      <c r="F110" s="14"/>
      <c r="G110" s="14" t="s">
        <v>94</v>
      </c>
      <c r="H110" s="15">
        <v>1500</v>
      </c>
      <c r="I110" s="15"/>
      <c r="J110" s="42"/>
      <c r="K110" s="15"/>
      <c r="L110" s="15"/>
      <c r="M110" s="15" t="s">
        <v>95</v>
      </c>
      <c r="N110" s="15"/>
      <c r="O110" s="15">
        <f>SUM(O102:O103)</f>
        <v>17812.5</v>
      </c>
      <c r="P110" s="15"/>
      <c r="Q110" s="15"/>
      <c r="R110" s="15"/>
      <c r="S110" s="15"/>
      <c r="T110" s="54"/>
      <c r="U110" s="54"/>
    </row>
    <row r="111" spans="1:21" ht="32.25" customHeight="1" thickBot="1">
      <c r="A111" s="37"/>
      <c r="B111" s="13"/>
      <c r="C111" s="563"/>
      <c r="D111" s="563"/>
      <c r="E111" s="563"/>
      <c r="F111" s="14"/>
      <c r="G111" s="14"/>
      <c r="H111" s="15"/>
      <c r="I111" s="15"/>
      <c r="J111" s="42"/>
      <c r="K111" s="15"/>
      <c r="L111" s="15"/>
      <c r="M111" s="15"/>
      <c r="N111" s="15"/>
      <c r="O111" s="15"/>
      <c r="P111" s="15"/>
      <c r="Q111" s="15"/>
      <c r="R111" s="15"/>
      <c r="S111" s="15"/>
      <c r="T111" s="54"/>
      <c r="U111" s="54"/>
    </row>
    <row r="112" spans="1:21" ht="32.25" customHeight="1" thickTop="1" thickBot="1">
      <c r="A112" s="37"/>
      <c r="B112" s="13"/>
      <c r="C112" s="377"/>
      <c r="D112" s="20">
        <f>SUM(D62:D78)</f>
        <v>0</v>
      </c>
      <c r="E112" s="378"/>
      <c r="F112" s="14"/>
      <c r="G112" s="14"/>
      <c r="H112" s="15"/>
      <c r="I112" s="15"/>
      <c r="J112" s="42"/>
      <c r="K112" s="15"/>
      <c r="L112" s="15"/>
      <c r="M112" s="15"/>
      <c r="N112" s="15"/>
      <c r="O112" s="15"/>
      <c r="P112" s="15"/>
      <c r="Q112" s="15"/>
      <c r="R112" s="15"/>
      <c r="S112" s="15"/>
      <c r="T112" s="54"/>
      <c r="U112" s="54"/>
    </row>
    <row r="113" spans="1:30" ht="32.25" customHeight="1" thickTop="1">
      <c r="A113" s="37"/>
      <c r="B113" s="13"/>
      <c r="C113" s="563" t="s">
        <v>96</v>
      </c>
      <c r="D113" s="563"/>
      <c r="E113" s="563"/>
      <c r="F113" s="14"/>
      <c r="G113" s="14">
        <f>+D109+D112+D115</f>
        <v>0</v>
      </c>
      <c r="H113" s="15">
        <f>+G113+(2.6*45)</f>
        <v>117</v>
      </c>
      <c r="I113" s="15"/>
      <c r="J113" s="42"/>
      <c r="K113" s="15"/>
      <c r="L113" s="15"/>
      <c r="M113" s="15"/>
      <c r="N113" s="15"/>
      <c r="O113" s="15"/>
      <c r="P113" s="15"/>
      <c r="Q113" s="15"/>
      <c r="R113" s="15"/>
      <c r="S113" s="1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32.25" customHeight="1" thickBot="1">
      <c r="A114" s="37"/>
      <c r="B114" s="13"/>
      <c r="C114" s="563"/>
      <c r="D114" s="563"/>
      <c r="E114" s="563"/>
      <c r="F114" s="14"/>
      <c r="G114" s="14"/>
      <c r="H114" s="15"/>
      <c r="I114" s="15"/>
      <c r="J114" s="42"/>
      <c r="K114" s="15"/>
      <c r="L114" s="15"/>
      <c r="M114" s="15"/>
      <c r="N114" s="15"/>
      <c r="O114" s="15"/>
      <c r="P114" s="15"/>
      <c r="Q114" s="15"/>
      <c r="R114" s="15"/>
      <c r="S114" s="15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32.25" customHeight="1" thickTop="1" thickBot="1">
      <c r="A115" s="37"/>
      <c r="B115" s="13"/>
      <c r="C115" s="377"/>
      <c r="D115" s="20">
        <f>SUM(D79:D98)</f>
        <v>0</v>
      </c>
      <c r="E115" s="378"/>
      <c r="F115" s="14"/>
      <c r="G115" s="14"/>
      <c r="H115" s="15"/>
      <c r="I115" s="15"/>
      <c r="J115" s="42"/>
      <c r="K115" s="15"/>
      <c r="L115" s="15"/>
      <c r="M115" s="15" t="s">
        <v>97</v>
      </c>
      <c r="N115" s="15"/>
      <c r="O115" s="15">
        <f>SUM(O107:O110)</f>
        <v>18020.52</v>
      </c>
      <c r="P115" s="15"/>
      <c r="Q115" s="15"/>
      <c r="R115" s="15"/>
      <c r="S115" s="15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32.25" customHeight="1" thickTop="1">
      <c r="A116" s="37"/>
      <c r="B116" s="13"/>
      <c r="C116" s="563" t="s">
        <v>98</v>
      </c>
      <c r="D116" s="563"/>
      <c r="E116" s="563"/>
      <c r="F116" s="14"/>
      <c r="G116" s="14"/>
      <c r="H116" s="15"/>
      <c r="I116" s="15"/>
      <c r="J116" s="42"/>
      <c r="K116" s="15"/>
      <c r="L116" s="15"/>
      <c r="M116" s="15"/>
      <c r="N116" s="15"/>
      <c r="O116" s="15"/>
      <c r="P116" s="15"/>
      <c r="Q116" s="15"/>
      <c r="R116" s="15"/>
      <c r="S116" s="15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ht="32.25" customHeight="1" thickBot="1">
      <c r="A117" s="37"/>
      <c r="B117" s="13"/>
      <c r="C117" s="563"/>
      <c r="D117" s="563"/>
      <c r="E117" s="563"/>
      <c r="F117" s="14"/>
      <c r="G117" s="14"/>
      <c r="H117" s="15"/>
      <c r="I117" s="15"/>
      <c r="J117" s="42"/>
      <c r="K117" s="15"/>
      <c r="L117" s="15"/>
      <c r="M117" s="15"/>
      <c r="N117" s="15"/>
      <c r="O117" s="15">
        <f>+M123-O115</f>
        <v>22464.38</v>
      </c>
      <c r="P117" s="15"/>
      <c r="Q117" s="15"/>
      <c r="R117" s="15"/>
      <c r="S117" s="15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 ht="32.25" customHeight="1" thickTop="1" thickBot="1">
      <c r="A118" s="37"/>
      <c r="B118" s="13"/>
      <c r="C118" s="377"/>
      <c r="D118" s="20">
        <f>+D100*1.037</f>
        <v>2957.89</v>
      </c>
      <c r="E118" s="378"/>
      <c r="F118" s="14"/>
      <c r="G118" s="14"/>
      <c r="H118" s="15"/>
      <c r="I118" s="15"/>
      <c r="J118" s="42"/>
      <c r="K118" s="15"/>
      <c r="L118" s="15"/>
      <c r="M118" s="15"/>
      <c r="N118" s="15"/>
      <c r="O118" s="15"/>
      <c r="P118" s="15"/>
      <c r="Q118" s="15"/>
      <c r="R118" s="15"/>
      <c r="S118" s="15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32.25" customHeight="1" thickTop="1" thickBot="1">
      <c r="A119" s="37"/>
      <c r="B119" s="13"/>
      <c r="C119" s="13"/>
      <c r="D119" s="14"/>
      <c r="E119" s="14"/>
      <c r="F119" s="14"/>
      <c r="G119" s="14"/>
      <c r="H119" s="15"/>
      <c r="I119" s="15"/>
      <c r="J119" s="42"/>
      <c r="K119" s="15"/>
      <c r="L119" s="15"/>
      <c r="M119" s="15"/>
      <c r="N119" s="15"/>
      <c r="O119" s="15"/>
      <c r="P119" s="15"/>
      <c r="Q119" s="15"/>
      <c r="R119" s="15"/>
      <c r="S119" s="15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32.25" customHeight="1" thickTop="1" thickBot="1">
      <c r="A120" s="37"/>
      <c r="B120" s="13"/>
      <c r="C120" s="13"/>
      <c r="D120" s="14"/>
      <c r="E120" s="14"/>
      <c r="F120" s="14"/>
      <c r="G120" s="14"/>
      <c r="H120" s="15"/>
      <c r="I120" s="15"/>
      <c r="J120" s="42"/>
      <c r="K120" s="15"/>
      <c r="L120" s="15"/>
      <c r="M120" s="16"/>
      <c r="N120" s="16"/>
      <c r="O120" s="16"/>
      <c r="P120" s="16"/>
      <c r="Q120" s="16"/>
      <c r="R120" s="16"/>
      <c r="S120" s="16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 ht="32.25" customHeight="1" thickTop="1" thickBot="1">
      <c r="A121" s="47"/>
      <c r="B121" s="45"/>
      <c r="C121" s="13"/>
      <c r="D121" s="14"/>
      <c r="E121" s="14"/>
      <c r="F121" s="43"/>
      <c r="G121" s="501" t="s">
        <v>99</v>
      </c>
      <c r="H121" s="501"/>
      <c r="I121" s="501"/>
      <c r="J121" s="501"/>
      <c r="K121" s="45"/>
      <c r="L121" s="45"/>
      <c r="M121" s="502" t="s">
        <v>100</v>
      </c>
      <c r="N121" s="503"/>
      <c r="O121" s="503"/>
      <c r="P121" s="503"/>
      <c r="Q121" s="503"/>
      <c r="R121" s="503"/>
      <c r="S121" s="50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 ht="32.25" customHeight="1" thickTop="1" thickBot="1">
      <c r="A122" s="47"/>
      <c r="B122" s="45"/>
      <c r="C122" s="13"/>
      <c r="D122" s="14"/>
      <c r="E122" s="14"/>
      <c r="F122" s="43"/>
      <c r="G122" s="378" t="s">
        <v>101</v>
      </c>
      <c r="H122" s="377" t="s">
        <v>102</v>
      </c>
      <c r="I122" s="377" t="s">
        <v>103</v>
      </c>
      <c r="J122" s="377" t="s">
        <v>104</v>
      </c>
      <c r="K122" s="45"/>
      <c r="L122" s="17" t="s">
        <v>21</v>
      </c>
      <c r="M122" s="21" t="s">
        <v>11</v>
      </c>
      <c r="N122" s="22" t="s">
        <v>12</v>
      </c>
      <c r="O122" s="22" t="s">
        <v>32</v>
      </c>
      <c r="P122" s="22" t="s">
        <v>13</v>
      </c>
      <c r="Q122" s="564" t="s">
        <v>105</v>
      </c>
      <c r="R122" s="564"/>
      <c r="S122" s="23" t="s">
        <v>106</v>
      </c>
      <c r="T122" s="23"/>
      <c r="U122" s="23" t="s">
        <v>107</v>
      </c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32.25" customHeight="1" thickTop="1" thickBot="1">
      <c r="A123" s="47"/>
      <c r="B123" s="45"/>
      <c r="C123" s="13"/>
      <c r="D123" s="14"/>
      <c r="E123" s="14"/>
      <c r="F123" s="43"/>
      <c r="G123" s="378">
        <f>SUM(D60:D62)</f>
        <v>0</v>
      </c>
      <c r="H123" s="377">
        <f>SUM(D53:D59)</f>
        <v>0</v>
      </c>
      <c r="I123" s="377"/>
      <c r="J123" s="380"/>
      <c r="K123" s="45"/>
      <c r="L123" s="18"/>
      <c r="M123" s="20">
        <f>+M105</f>
        <v>40484.9</v>
      </c>
      <c r="N123" s="20">
        <f>+N105</f>
        <v>199.66</v>
      </c>
      <c r="O123" s="20">
        <f>+O105</f>
        <v>18020.52</v>
      </c>
      <c r="P123" s="20">
        <f>+O117</f>
        <v>22464.38</v>
      </c>
      <c r="Q123" s="20">
        <f>+M123-(O123+N123+U123)</f>
        <v>18514.72</v>
      </c>
      <c r="R123" s="20"/>
      <c r="S123" s="20">
        <f>+S105</f>
        <v>19623.150000000001</v>
      </c>
      <c r="T123" s="20">
        <f t="shared" ref="T123" si="32">+T105</f>
        <v>0</v>
      </c>
      <c r="U123" s="20">
        <f>+H110*5*0.5</f>
        <v>3750</v>
      </c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32.25" customHeight="1" thickTop="1" thickBot="1">
      <c r="A124" s="47" t="s">
        <v>108</v>
      </c>
      <c r="B124" s="45"/>
      <c r="C124" s="13"/>
      <c r="D124" s="14"/>
      <c r="E124" s="14"/>
      <c r="F124" s="43"/>
      <c r="G124" s="43"/>
      <c r="H124" s="45"/>
      <c r="I124" s="45"/>
      <c r="J124" s="46"/>
      <c r="K124" s="45"/>
      <c r="L124" s="48"/>
      <c r="M124" s="49"/>
      <c r="N124" s="43"/>
      <c r="O124" s="43"/>
      <c r="P124" s="43"/>
      <c r="Q124" s="43"/>
      <c r="R124" s="43"/>
      <c r="S124" s="4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ht="32.25" customHeight="1" thickTop="1" thickBot="1">
      <c r="A125" s="47"/>
      <c r="B125" s="45"/>
      <c r="C125" s="45"/>
      <c r="D125" s="43"/>
      <c r="E125" s="43"/>
      <c r="F125" s="43"/>
      <c r="G125" s="43"/>
      <c r="H125" s="45"/>
      <c r="I125" s="45"/>
      <c r="J125" s="46"/>
      <c r="K125" s="45"/>
      <c r="L125" s="19">
        <v>90</v>
      </c>
      <c r="M125" s="19">
        <f>M123*L125%</f>
        <v>36436.410000000003</v>
      </c>
      <c r="N125" s="43"/>
      <c r="O125" s="43"/>
      <c r="P125" s="43"/>
      <c r="Q125" s="43"/>
      <c r="R125" s="43"/>
      <c r="S125" s="4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 ht="32.25" customHeight="1" thickTop="1" thickBot="1">
      <c r="A126" s="47"/>
      <c r="B126" s="45"/>
      <c r="C126" s="497" t="s">
        <v>109</v>
      </c>
      <c r="D126" s="498"/>
      <c r="E126" s="499"/>
      <c r="F126" s="43"/>
      <c r="G126" s="43"/>
      <c r="H126" s="45"/>
      <c r="I126" s="45"/>
      <c r="J126" s="46"/>
      <c r="K126" s="45"/>
      <c r="L126" s="19">
        <v>80</v>
      </c>
      <c r="M126" s="19">
        <f>M123*L126%</f>
        <v>32387.919999999998</v>
      </c>
      <c r="N126" s="43"/>
      <c r="O126" s="43"/>
      <c r="P126" s="43"/>
      <c r="Q126" s="43"/>
      <c r="R126" s="43"/>
      <c r="S126" s="4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 ht="32.25" customHeight="1" thickTop="1" thickBot="1">
      <c r="A127" s="549"/>
      <c r="B127" s="54"/>
      <c r="C127" s="50"/>
      <c r="D127" s="51"/>
      <c r="E127" s="52"/>
      <c r="F127" s="54"/>
      <c r="G127" s="54"/>
      <c r="H127" s="547"/>
      <c r="I127" s="548"/>
      <c r="J127" s="548"/>
      <c r="K127" s="548"/>
      <c r="L127" s="19">
        <v>70</v>
      </c>
      <c r="M127" s="19">
        <f>M123*L127%</f>
        <v>28339.43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32.25" customHeight="1" thickTop="1" thickBot="1">
      <c r="A128" s="549"/>
      <c r="B128" s="54"/>
      <c r="C128" s="565" t="s">
        <v>110</v>
      </c>
      <c r="D128" s="566" t="s">
        <v>111</v>
      </c>
      <c r="E128" s="567" t="s">
        <v>112</v>
      </c>
      <c r="F128" s="54"/>
      <c r="G128" s="54"/>
      <c r="H128" s="547"/>
      <c r="I128" s="548"/>
      <c r="J128" s="548"/>
      <c r="K128" s="548"/>
      <c r="L128" s="19">
        <v>60</v>
      </c>
      <c r="M128" s="19">
        <f>M123*L128%</f>
        <v>24290.94</v>
      </c>
      <c r="N128" s="54"/>
      <c r="O128" s="547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3:13" ht="32.25" customHeight="1" thickTop="1" thickBot="1">
      <c r="C129" s="568"/>
      <c r="D129" s="568">
        <f>(0.3+0.2)/2</f>
        <v>0.25</v>
      </c>
      <c r="E129" s="568"/>
      <c r="F129" s="54"/>
      <c r="G129" s="54"/>
      <c r="H129" s="547"/>
      <c r="I129" s="548"/>
      <c r="J129" s="548"/>
      <c r="K129" s="548"/>
      <c r="L129" s="19">
        <v>50</v>
      </c>
      <c r="M129" s="19">
        <f>M123*L129%</f>
        <v>20242.45</v>
      </c>
    </row>
    <row r="130" spans="3:13" ht="32.25" customHeight="1" thickTop="1" thickBot="1">
      <c r="C130" s="569"/>
      <c r="D130" s="24">
        <f>+C129*D129*1</f>
        <v>0</v>
      </c>
      <c r="E130" s="53" t="s">
        <v>113</v>
      </c>
      <c r="F130" s="54"/>
      <c r="G130" s="54"/>
      <c r="H130" s="547"/>
      <c r="I130" s="548"/>
      <c r="J130" s="548"/>
      <c r="K130" s="548"/>
      <c r="L130" s="19">
        <v>40</v>
      </c>
      <c r="M130" s="19">
        <f>M123*L130%</f>
        <v>16193.96</v>
      </c>
    </row>
    <row r="131" spans="3:13" ht="32.25" customHeight="1" thickTop="1" thickBot="1">
      <c r="C131" s="570"/>
      <c r="D131" s="571"/>
      <c r="E131" s="572"/>
      <c r="F131" s="54"/>
      <c r="G131" s="54"/>
      <c r="H131" s="547"/>
      <c r="I131" s="548"/>
      <c r="J131" s="548"/>
      <c r="K131" s="548"/>
      <c r="L131" s="19">
        <v>30</v>
      </c>
      <c r="M131" s="19">
        <f>M123*L131%</f>
        <v>12145.47</v>
      </c>
    </row>
    <row r="132" spans="3:13" ht="32.25" customHeight="1" thickTop="1" thickBot="1">
      <c r="C132" s="550"/>
      <c r="D132" s="546"/>
      <c r="E132" s="550"/>
      <c r="F132" s="54"/>
      <c r="G132" s="54"/>
      <c r="H132" s="547"/>
      <c r="I132" s="548"/>
      <c r="J132" s="548"/>
      <c r="K132" s="548"/>
      <c r="L132" s="19">
        <v>20</v>
      </c>
      <c r="M132" s="19">
        <f>M123*L132%</f>
        <v>8096.98</v>
      </c>
    </row>
    <row r="133" spans="3:13" ht="32.25" customHeight="1" thickTop="1" thickBot="1">
      <c r="C133" s="550"/>
      <c r="D133" s="546"/>
      <c r="E133" s="550"/>
      <c r="F133" s="54"/>
      <c r="G133" s="54"/>
      <c r="H133" s="547"/>
      <c r="I133" s="548"/>
      <c r="J133" s="548"/>
      <c r="K133" s="548"/>
      <c r="L133" s="19">
        <v>10</v>
      </c>
      <c r="M133" s="19">
        <f>M123*L133%</f>
        <v>4048.49</v>
      </c>
    </row>
    <row r="134" spans="3:13" ht="32.25" customHeight="1" thickTop="1">
      <c r="C134" s="550"/>
      <c r="D134" s="546"/>
      <c r="E134" s="550"/>
      <c r="F134" s="54"/>
      <c r="G134" s="54"/>
      <c r="H134" s="547"/>
      <c r="I134" s="548"/>
      <c r="J134" s="548"/>
      <c r="K134" s="548"/>
      <c r="L134" s="54"/>
      <c r="M134" s="54"/>
    </row>
    <row r="135" spans="3:13" ht="32.25" customHeight="1">
      <c r="C135" s="550"/>
      <c r="D135" s="546"/>
      <c r="E135" s="550"/>
      <c r="F135" s="54"/>
      <c r="G135" s="54"/>
      <c r="H135" s="547"/>
      <c r="I135" s="548"/>
      <c r="J135" s="548"/>
      <c r="K135" s="548"/>
      <c r="L135" s="54"/>
      <c r="M135" s="54"/>
    </row>
  </sheetData>
  <mergeCells count="20">
    <mergeCell ref="A48:Q48"/>
    <mergeCell ref="A1:O1"/>
    <mergeCell ref="P1:AD1"/>
    <mergeCell ref="A2:O2"/>
    <mergeCell ref="P2:AD2"/>
    <mergeCell ref="J24:O24"/>
    <mergeCell ref="Y24:AD24"/>
    <mergeCell ref="C26:E26"/>
    <mergeCell ref="R26:T26"/>
    <mergeCell ref="A38:O38"/>
    <mergeCell ref="A39:O39"/>
    <mergeCell ref="A40:O40"/>
    <mergeCell ref="C126:E126"/>
    <mergeCell ref="A49:Q49"/>
    <mergeCell ref="C107:E108"/>
    <mergeCell ref="C110:E111"/>
    <mergeCell ref="C113:E114"/>
    <mergeCell ref="C116:E117"/>
    <mergeCell ref="G121:J121"/>
    <mergeCell ref="M121:S121"/>
  </mergeCells>
  <printOptions horizontalCentered="1"/>
  <pageMargins left="0.39370078740157483" right="0.39370078740157483" top="0.4" bottom="0.92" header="0.27559055118110237" footer="0.31496062992125984"/>
  <pageSetup scale="70" orientation="portrait" horizontalDpi="4294967295" verticalDpi="300" r:id="rId1"/>
  <headerFooter alignWithMargins="0">
    <oddFooter>&amp;L&amp;10&amp;F / &amp;A&amp;R&amp;10&amp;P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4C6C-B5F4-412E-8E6C-93C195A9EF09}">
  <sheetPr transitionEvaluation="1"/>
  <dimension ref="A1:AD135"/>
  <sheetViews>
    <sheetView showGridLines="0" showZeros="0" topLeftCell="A92" zoomScale="70" zoomScaleNormal="70" workbookViewId="0">
      <selection activeCell="F101" sqref="F101"/>
    </sheetView>
  </sheetViews>
  <sheetFormatPr defaultColWidth="12.6640625" defaultRowHeight="15" customHeight="1"/>
  <cols>
    <col min="1" max="1" width="21.77734375" style="38" customWidth="1"/>
    <col min="2" max="2" width="9.77734375" style="1" customWidth="1"/>
    <col min="3" max="3" width="12.77734375" style="3" customWidth="1"/>
    <col min="4" max="4" width="13" style="2" customWidth="1"/>
    <col min="5" max="5" width="12.109375" style="3" customWidth="1"/>
    <col min="6" max="6" width="14.44140625" style="1" customWidth="1"/>
    <col min="7" max="7" width="13" style="1" customWidth="1"/>
    <col min="8" max="8" width="15.88671875" style="4" customWidth="1"/>
    <col min="9" max="9" width="9.33203125" style="39" customWidth="1"/>
    <col min="10" max="10" width="10.5546875" style="39" customWidth="1"/>
    <col min="11" max="11" width="9.33203125" style="39" customWidth="1"/>
    <col min="12" max="12" width="12.33203125" style="1" customWidth="1"/>
    <col min="13" max="13" width="13.77734375" style="1" customWidth="1"/>
    <col min="14" max="14" width="10.77734375" style="1" bestFit="1" customWidth="1"/>
    <col min="15" max="15" width="13.88671875" style="1" customWidth="1"/>
    <col min="16" max="16" width="13.6640625" style="1" customWidth="1"/>
    <col min="17" max="19" width="12.6640625" style="1"/>
    <col min="20" max="20" width="15.44140625" style="1" customWidth="1"/>
    <col min="21" max="21" width="16.6640625" style="1" customWidth="1"/>
    <col min="22" max="16384" width="12.6640625" style="1"/>
  </cols>
  <sheetData>
    <row r="1" spans="1:30" ht="15" customHeight="1" thickTop="1">
      <c r="A1" s="505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7"/>
      <c r="P1" s="505" t="s">
        <v>0</v>
      </c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7"/>
    </row>
    <row r="2" spans="1:30" ht="15" customHeight="1">
      <c r="A2" s="534" t="s">
        <v>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9"/>
      <c r="P2" s="534" t="s">
        <v>1</v>
      </c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9"/>
    </row>
    <row r="3" spans="1:30" ht="15" customHeight="1">
      <c r="A3" s="181"/>
      <c r="B3" s="182"/>
      <c r="C3" s="182"/>
      <c r="D3" s="183"/>
      <c r="E3" s="183"/>
      <c r="F3" s="183"/>
      <c r="G3" s="184"/>
      <c r="H3" s="185"/>
      <c r="I3" s="185"/>
      <c r="J3" s="184"/>
      <c r="K3" s="185"/>
      <c r="L3" s="185"/>
      <c r="M3" s="185"/>
      <c r="N3" s="184"/>
      <c r="O3" s="184"/>
      <c r="P3" s="181"/>
      <c r="Q3" s="182"/>
      <c r="R3" s="182"/>
      <c r="S3" s="183"/>
      <c r="T3" s="183"/>
      <c r="U3" s="183"/>
      <c r="V3" s="184"/>
      <c r="W3" s="185"/>
      <c r="X3" s="185"/>
      <c r="Y3" s="184"/>
      <c r="Z3" s="185"/>
      <c r="AA3" s="185"/>
      <c r="AB3" s="185"/>
      <c r="AC3" s="184"/>
      <c r="AD3" s="184"/>
    </row>
    <row r="4" spans="1:30" ht="15" customHeight="1" thickBot="1">
      <c r="A4" s="181"/>
      <c r="B4" s="182"/>
      <c r="C4" s="182"/>
      <c r="D4" s="183"/>
      <c r="E4" s="183"/>
      <c r="F4" s="183"/>
      <c r="G4" s="184"/>
      <c r="H4" s="185"/>
      <c r="I4" s="185"/>
      <c r="J4" s="184"/>
      <c r="K4" s="185"/>
      <c r="L4" s="185"/>
      <c r="M4" s="185"/>
      <c r="N4" s="184"/>
      <c r="O4" s="184"/>
      <c r="P4" s="181"/>
      <c r="Q4" s="182"/>
      <c r="R4" s="182"/>
      <c r="S4" s="183"/>
      <c r="T4" s="183"/>
      <c r="U4" s="183"/>
      <c r="V4" s="184"/>
      <c r="W4" s="185"/>
      <c r="X4" s="185"/>
      <c r="Y4" s="184"/>
      <c r="Z4" s="185"/>
      <c r="AA4" s="185"/>
      <c r="AB4" s="185"/>
      <c r="AC4" s="184"/>
      <c r="AD4" s="184"/>
    </row>
    <row r="5" spans="1:30" ht="23.25" customHeight="1" thickTop="1" thickBot="1">
      <c r="A5" s="186" t="s">
        <v>2</v>
      </c>
      <c r="B5" s="186" t="s">
        <v>3</v>
      </c>
      <c r="C5" s="187" t="s">
        <v>4</v>
      </c>
      <c r="D5" s="188" t="s">
        <v>5</v>
      </c>
      <c r="E5" s="188" t="s">
        <v>6</v>
      </c>
      <c r="F5" s="188" t="s">
        <v>7</v>
      </c>
      <c r="G5" s="188" t="s">
        <v>8</v>
      </c>
      <c r="H5" s="187" t="s">
        <v>9</v>
      </c>
      <c r="I5" s="187" t="s">
        <v>10</v>
      </c>
      <c r="J5" s="189" t="s">
        <v>11</v>
      </c>
      <c r="K5" s="190" t="s">
        <v>12</v>
      </c>
      <c r="L5" s="190" t="s">
        <v>13</v>
      </c>
      <c r="M5" s="191" t="s">
        <v>14</v>
      </c>
      <c r="N5" s="191" t="s">
        <v>15</v>
      </c>
      <c r="O5" s="191" t="s">
        <v>16</v>
      </c>
      <c r="P5" s="186" t="s">
        <v>2</v>
      </c>
      <c r="Q5" s="186" t="s">
        <v>3</v>
      </c>
      <c r="R5" s="187" t="s">
        <v>4</v>
      </c>
      <c r="S5" s="188" t="s">
        <v>5</v>
      </c>
      <c r="T5" s="188" t="s">
        <v>6</v>
      </c>
      <c r="U5" s="188" t="s">
        <v>7</v>
      </c>
      <c r="V5" s="188" t="s">
        <v>8</v>
      </c>
      <c r="W5" s="187" t="s">
        <v>9</v>
      </c>
      <c r="X5" s="187" t="s">
        <v>10</v>
      </c>
      <c r="Y5" s="189" t="s">
        <v>11</v>
      </c>
      <c r="Z5" s="190" t="s">
        <v>12</v>
      </c>
      <c r="AA5" s="190" t="s">
        <v>13</v>
      </c>
      <c r="AB5" s="191" t="s">
        <v>14</v>
      </c>
      <c r="AC5" s="191" t="s">
        <v>15</v>
      </c>
      <c r="AD5" s="191" t="s">
        <v>16</v>
      </c>
    </row>
    <row r="6" spans="1:30" ht="15" customHeight="1" thickTop="1">
      <c r="A6" s="535"/>
      <c r="B6" s="536"/>
      <c r="C6" s="536"/>
      <c r="D6" s="537"/>
      <c r="E6" s="537"/>
      <c r="F6" s="537"/>
      <c r="G6" s="537"/>
      <c r="H6" s="536"/>
      <c r="I6" s="536"/>
      <c r="J6" s="537"/>
      <c r="K6" s="536"/>
      <c r="L6" s="537"/>
      <c r="M6" s="537"/>
      <c r="N6" s="537"/>
      <c r="O6" s="537"/>
      <c r="P6" s="535"/>
      <c r="Q6" s="536"/>
      <c r="R6" s="536"/>
      <c r="S6" s="537"/>
      <c r="T6" s="537"/>
      <c r="U6" s="537"/>
      <c r="V6" s="537"/>
      <c r="W6" s="536"/>
      <c r="X6" s="536"/>
      <c r="Y6" s="537"/>
      <c r="Z6" s="536"/>
      <c r="AA6" s="537"/>
      <c r="AB6" s="537"/>
      <c r="AC6" s="537"/>
      <c r="AD6" s="537"/>
    </row>
    <row r="7" spans="1:30" ht="15" customHeight="1">
      <c r="A7" s="538">
        <v>1</v>
      </c>
      <c r="B7" s="536">
        <v>1.5</v>
      </c>
      <c r="C7" s="536" t="s">
        <v>17</v>
      </c>
      <c r="D7" s="539"/>
      <c r="E7" s="539">
        <v>0.6</v>
      </c>
      <c r="F7" s="539">
        <v>1.1499999999999999</v>
      </c>
      <c r="G7" s="539">
        <f t="shared" ref="G7:G15" si="0">(((((B7*2.54)/100)*((B7*2.54)/100))*3.14)/4)*D7</f>
        <v>0</v>
      </c>
      <c r="H7" s="540">
        <v>1.009463</v>
      </c>
      <c r="I7" s="541">
        <f t="shared" ref="I7:I15" si="1">D7*H7</f>
        <v>0</v>
      </c>
      <c r="J7" s="539">
        <f t="shared" ref="J7:J15" si="2">D7*E7*F7</f>
        <v>0</v>
      </c>
      <c r="K7" s="541">
        <f t="shared" ref="K7:K15" si="3">D7*E7*0.1</f>
        <v>0</v>
      </c>
      <c r="L7" s="539">
        <f>J7-(G7+K7)</f>
        <v>0</v>
      </c>
      <c r="M7" s="539">
        <f t="shared" ref="M7:M15" si="4">(D7*E7*(((B7*2.54)/100)+0.3)-G7)</f>
        <v>0</v>
      </c>
      <c r="N7" s="539">
        <f>(M7+K7)*1.3</f>
        <v>0</v>
      </c>
      <c r="O7" s="539">
        <f>(J7-L7)*1.3</f>
        <v>0</v>
      </c>
      <c r="P7" s="538">
        <v>1</v>
      </c>
      <c r="Q7" s="536">
        <v>1.5</v>
      </c>
      <c r="R7" s="536" t="s">
        <v>17</v>
      </c>
      <c r="S7" s="539"/>
      <c r="T7" s="539">
        <v>0.6</v>
      </c>
      <c r="U7" s="539">
        <v>1.1499999999999999</v>
      </c>
      <c r="V7" s="539">
        <f t="shared" ref="V7:V15" si="5">(((((Q7*2.54)/100)*((Q7*2.54)/100))*3.14)/4)*S7</f>
        <v>0</v>
      </c>
      <c r="W7" s="540">
        <v>1.009463</v>
      </c>
      <c r="X7" s="541">
        <f t="shared" ref="X7:X15" si="6">S7*W7</f>
        <v>0</v>
      </c>
      <c r="Y7" s="539">
        <f t="shared" ref="Y7:Y15" si="7">S7*T7*U7</f>
        <v>0</v>
      </c>
      <c r="Z7" s="541">
        <f t="shared" ref="Z7:Z15" si="8">S7*T7*0.1</f>
        <v>0</v>
      </c>
      <c r="AA7" s="539">
        <f>Y7-(V7+Z7)</f>
        <v>0</v>
      </c>
      <c r="AB7" s="539">
        <f t="shared" ref="AB7:AB15" si="9">(S7*T7*(((Q7*2.54)/100)+0.3)-V7)</f>
        <v>0</v>
      </c>
      <c r="AC7" s="539">
        <f>(AB7+Z7)*1.3</f>
        <v>0</v>
      </c>
      <c r="AD7" s="539">
        <f>(Y7-AA7)*1.3</f>
        <v>0</v>
      </c>
    </row>
    <row r="8" spans="1:30" ht="15" customHeight="1">
      <c r="A8" s="538">
        <f t="shared" ref="A8:A15" si="10">+A7+1</f>
        <v>2</v>
      </c>
      <c r="B8" s="536">
        <v>2</v>
      </c>
      <c r="C8" s="536" t="s">
        <v>17</v>
      </c>
      <c r="D8" s="539"/>
      <c r="E8" s="539">
        <v>0.6</v>
      </c>
      <c r="F8" s="539">
        <v>1.1499999999999999</v>
      </c>
      <c r="G8" s="539">
        <f t="shared" si="0"/>
        <v>0</v>
      </c>
      <c r="H8" s="540">
        <v>1.009463</v>
      </c>
      <c r="I8" s="541">
        <f t="shared" si="1"/>
        <v>0</v>
      </c>
      <c r="J8" s="539">
        <f t="shared" si="2"/>
        <v>0</v>
      </c>
      <c r="K8" s="541">
        <f t="shared" si="3"/>
        <v>0</v>
      </c>
      <c r="L8" s="539">
        <f>J8-(G8+K8)</f>
        <v>0</v>
      </c>
      <c r="M8" s="539">
        <f t="shared" si="4"/>
        <v>0</v>
      </c>
      <c r="N8" s="539">
        <f>(M8+K8)*1.3</f>
        <v>0</v>
      </c>
      <c r="O8" s="539">
        <f>(J8-L8)*1.3</f>
        <v>0</v>
      </c>
      <c r="P8" s="538">
        <f t="shared" ref="P8:P15" si="11">+P7+1</f>
        <v>2</v>
      </c>
      <c r="Q8" s="536">
        <v>2</v>
      </c>
      <c r="R8" s="536" t="s">
        <v>17</v>
      </c>
      <c r="S8" s="539"/>
      <c r="T8" s="539">
        <v>0.6</v>
      </c>
      <c r="U8" s="539">
        <v>1.1499999999999999</v>
      </c>
      <c r="V8" s="539">
        <f t="shared" si="5"/>
        <v>0</v>
      </c>
      <c r="W8" s="540">
        <v>1.009463</v>
      </c>
      <c r="X8" s="541">
        <f t="shared" si="6"/>
        <v>0</v>
      </c>
      <c r="Y8" s="539">
        <f t="shared" si="7"/>
        <v>0</v>
      </c>
      <c r="Z8" s="541">
        <f t="shared" si="8"/>
        <v>0</v>
      </c>
      <c r="AA8" s="539">
        <f>Y8-(V8+Z8)</f>
        <v>0</v>
      </c>
      <c r="AB8" s="539">
        <f t="shared" si="9"/>
        <v>0</v>
      </c>
      <c r="AC8" s="539">
        <f>(AB8+Z8)*1.3</f>
        <v>0</v>
      </c>
      <c r="AD8" s="539">
        <f>(Y8-AA8)*1.3</f>
        <v>0</v>
      </c>
    </row>
    <row r="9" spans="1:30" ht="15" customHeight="1">
      <c r="A9" s="538">
        <f t="shared" si="10"/>
        <v>3</v>
      </c>
      <c r="B9" s="536">
        <v>3</v>
      </c>
      <c r="C9" s="536" t="s">
        <v>17</v>
      </c>
      <c r="D9" s="539"/>
      <c r="E9" s="539">
        <v>0.6</v>
      </c>
      <c r="F9" s="539">
        <v>1.1499999999999999</v>
      </c>
      <c r="G9" s="539">
        <f t="shared" si="0"/>
        <v>0</v>
      </c>
      <c r="H9" s="540">
        <v>1.013727</v>
      </c>
      <c r="I9" s="541">
        <f t="shared" si="1"/>
        <v>0</v>
      </c>
      <c r="J9" s="539">
        <f t="shared" si="2"/>
        <v>0</v>
      </c>
      <c r="K9" s="541">
        <f t="shared" si="3"/>
        <v>0</v>
      </c>
      <c r="L9" s="539">
        <f t="shared" ref="L9:AA15" si="12">J9-(G9+K9)</f>
        <v>0</v>
      </c>
      <c r="M9" s="539">
        <f t="shared" si="4"/>
        <v>0</v>
      </c>
      <c r="N9" s="539">
        <f t="shared" ref="N9:AC15" si="13">(M9+K9)*1.3</f>
        <v>0</v>
      </c>
      <c r="O9" s="539">
        <f t="shared" ref="O9:AD15" si="14">(J9-L9)*1.3</f>
        <v>0</v>
      </c>
      <c r="P9" s="538">
        <f t="shared" si="11"/>
        <v>3</v>
      </c>
      <c r="Q9" s="536">
        <v>3</v>
      </c>
      <c r="R9" s="536" t="s">
        <v>17</v>
      </c>
      <c r="S9" s="539"/>
      <c r="T9" s="539">
        <v>0.6</v>
      </c>
      <c r="U9" s="539">
        <v>1.1499999999999999</v>
      </c>
      <c r="V9" s="539">
        <f t="shared" si="5"/>
        <v>0</v>
      </c>
      <c r="W9" s="540">
        <v>1.013727</v>
      </c>
      <c r="X9" s="541">
        <f t="shared" si="6"/>
        <v>0</v>
      </c>
      <c r="Y9" s="539">
        <f t="shared" si="7"/>
        <v>0</v>
      </c>
      <c r="Z9" s="541">
        <f t="shared" si="8"/>
        <v>0</v>
      </c>
      <c r="AA9" s="539">
        <f t="shared" si="12"/>
        <v>0</v>
      </c>
      <c r="AB9" s="539">
        <f t="shared" si="9"/>
        <v>0</v>
      </c>
      <c r="AC9" s="539">
        <f t="shared" si="13"/>
        <v>0</v>
      </c>
      <c r="AD9" s="539">
        <f t="shared" si="14"/>
        <v>0</v>
      </c>
    </row>
    <row r="10" spans="1:30" ht="27.75" customHeight="1">
      <c r="A10" s="538">
        <f t="shared" si="10"/>
        <v>4</v>
      </c>
      <c r="B10" s="536"/>
      <c r="C10" s="536" t="s">
        <v>17</v>
      </c>
      <c r="D10" s="539"/>
      <c r="E10" s="539">
        <v>5</v>
      </c>
      <c r="F10" s="539">
        <v>4</v>
      </c>
      <c r="G10" s="539">
        <f t="shared" si="0"/>
        <v>0</v>
      </c>
      <c r="H10" s="540">
        <v>1.013727</v>
      </c>
      <c r="I10" s="541">
        <f t="shared" si="1"/>
        <v>0</v>
      </c>
      <c r="J10" s="539">
        <f t="shared" si="2"/>
        <v>0</v>
      </c>
      <c r="K10" s="541">
        <f t="shared" si="3"/>
        <v>0</v>
      </c>
      <c r="L10" s="539">
        <f>+J10-(D10*3.1*2.65)</f>
        <v>0</v>
      </c>
      <c r="M10" s="539">
        <f t="shared" si="4"/>
        <v>0</v>
      </c>
      <c r="N10" s="539">
        <f t="shared" si="13"/>
        <v>0</v>
      </c>
      <c r="O10" s="539">
        <f t="shared" si="14"/>
        <v>0</v>
      </c>
      <c r="P10" s="538">
        <f t="shared" si="11"/>
        <v>4</v>
      </c>
      <c r="Q10" s="536">
        <v>4</v>
      </c>
      <c r="R10" s="536" t="s">
        <v>17</v>
      </c>
      <c r="S10" s="539"/>
      <c r="T10" s="539">
        <v>0.6</v>
      </c>
      <c r="U10" s="539">
        <v>1.2</v>
      </c>
      <c r="V10" s="539">
        <f t="shared" si="5"/>
        <v>0</v>
      </c>
      <c r="W10" s="540">
        <v>1.013727</v>
      </c>
      <c r="X10" s="541">
        <f t="shared" si="6"/>
        <v>0</v>
      </c>
      <c r="Y10" s="539">
        <f t="shared" si="7"/>
        <v>0</v>
      </c>
      <c r="Z10" s="541">
        <f t="shared" si="8"/>
        <v>0</v>
      </c>
      <c r="AA10" s="539">
        <f t="shared" si="12"/>
        <v>0</v>
      </c>
      <c r="AB10" s="539">
        <f t="shared" si="9"/>
        <v>0</v>
      </c>
      <c r="AC10" s="539">
        <f t="shared" si="13"/>
        <v>0</v>
      </c>
      <c r="AD10" s="539">
        <f t="shared" si="14"/>
        <v>0</v>
      </c>
    </row>
    <row r="11" spans="1:30" ht="21.75" customHeight="1">
      <c r="A11" s="538">
        <f t="shared" si="10"/>
        <v>5</v>
      </c>
      <c r="B11" s="536">
        <v>6</v>
      </c>
      <c r="C11" s="536" t="s">
        <v>17</v>
      </c>
      <c r="D11" s="539"/>
      <c r="E11" s="539">
        <v>0.7</v>
      </c>
      <c r="F11" s="539">
        <v>1.25</v>
      </c>
      <c r="G11" s="539">
        <f t="shared" si="0"/>
        <v>0</v>
      </c>
      <c r="H11" s="540">
        <v>1.016945</v>
      </c>
      <c r="I11" s="541">
        <f t="shared" si="1"/>
        <v>0</v>
      </c>
      <c r="J11" s="539">
        <f t="shared" si="2"/>
        <v>0</v>
      </c>
      <c r="K11" s="541">
        <f t="shared" si="3"/>
        <v>0</v>
      </c>
      <c r="L11" s="539">
        <f t="shared" si="12"/>
        <v>0</v>
      </c>
      <c r="M11" s="539">
        <f t="shared" si="4"/>
        <v>0</v>
      </c>
      <c r="N11" s="539">
        <f t="shared" si="13"/>
        <v>0</v>
      </c>
      <c r="O11" s="539">
        <f t="shared" si="14"/>
        <v>0</v>
      </c>
      <c r="P11" s="538">
        <f t="shared" si="11"/>
        <v>5</v>
      </c>
      <c r="Q11" s="536">
        <v>6</v>
      </c>
      <c r="R11" s="536" t="s">
        <v>17</v>
      </c>
      <c r="S11" s="539"/>
      <c r="T11" s="539">
        <v>0.7</v>
      </c>
      <c r="U11" s="539">
        <v>1.25</v>
      </c>
      <c r="V11" s="539">
        <f t="shared" si="5"/>
        <v>0</v>
      </c>
      <c r="W11" s="540">
        <v>1.016945</v>
      </c>
      <c r="X11" s="541">
        <f t="shared" si="6"/>
        <v>0</v>
      </c>
      <c r="Y11" s="539">
        <f t="shared" si="7"/>
        <v>0</v>
      </c>
      <c r="Z11" s="541">
        <f t="shared" si="8"/>
        <v>0</v>
      </c>
      <c r="AA11" s="539">
        <f t="shared" si="12"/>
        <v>0</v>
      </c>
      <c r="AB11" s="539">
        <f t="shared" si="9"/>
        <v>0</v>
      </c>
      <c r="AC11" s="539">
        <f t="shared" si="13"/>
        <v>0</v>
      </c>
      <c r="AD11" s="539">
        <f t="shared" si="14"/>
        <v>0</v>
      </c>
    </row>
    <row r="12" spans="1:30" ht="20.25" customHeight="1">
      <c r="A12" s="538">
        <f t="shared" si="10"/>
        <v>6</v>
      </c>
      <c r="B12" s="536">
        <v>8</v>
      </c>
      <c r="C12" s="536" t="s">
        <v>17</v>
      </c>
      <c r="D12" s="539"/>
      <c r="E12" s="539">
        <v>0.75</v>
      </c>
      <c r="F12" s="539">
        <v>1.3</v>
      </c>
      <c r="G12" s="539">
        <f t="shared" si="0"/>
        <v>0</v>
      </c>
      <c r="H12" s="540">
        <v>1.025641</v>
      </c>
      <c r="I12" s="541">
        <f t="shared" si="1"/>
        <v>0</v>
      </c>
      <c r="J12" s="539">
        <f t="shared" si="2"/>
        <v>0</v>
      </c>
      <c r="K12" s="541">
        <f t="shared" si="3"/>
        <v>0</v>
      </c>
      <c r="L12" s="539">
        <f t="shared" si="12"/>
        <v>0</v>
      </c>
      <c r="M12" s="539">
        <f t="shared" si="4"/>
        <v>0</v>
      </c>
      <c r="N12" s="539">
        <f t="shared" si="13"/>
        <v>0</v>
      </c>
      <c r="O12" s="539">
        <f t="shared" si="14"/>
        <v>0</v>
      </c>
      <c r="P12" s="538">
        <f t="shared" si="11"/>
        <v>6</v>
      </c>
      <c r="Q12" s="536">
        <v>8</v>
      </c>
      <c r="R12" s="536" t="s">
        <v>17</v>
      </c>
      <c r="S12" s="539">
        <v>105.11</v>
      </c>
      <c r="T12" s="539">
        <v>0.75</v>
      </c>
      <c r="U12" s="539">
        <v>1.3</v>
      </c>
      <c r="V12" s="539">
        <f t="shared" si="5"/>
        <v>3.41</v>
      </c>
      <c r="W12" s="540">
        <v>1.025641</v>
      </c>
      <c r="X12" s="541">
        <f t="shared" si="6"/>
        <v>107.81</v>
      </c>
      <c r="Y12" s="539">
        <f t="shared" si="7"/>
        <v>102.48</v>
      </c>
      <c r="Z12" s="541">
        <f t="shared" si="8"/>
        <v>7.88</v>
      </c>
      <c r="AA12" s="539">
        <f t="shared" si="12"/>
        <v>91.19</v>
      </c>
      <c r="AB12" s="539">
        <f t="shared" si="9"/>
        <v>36.26</v>
      </c>
      <c r="AC12" s="539">
        <f t="shared" si="13"/>
        <v>57.38</v>
      </c>
      <c r="AD12" s="539">
        <f t="shared" si="14"/>
        <v>14.68</v>
      </c>
    </row>
    <row r="13" spans="1:30" ht="15" customHeight="1">
      <c r="A13" s="538">
        <f t="shared" si="10"/>
        <v>7</v>
      </c>
      <c r="B13" s="536">
        <v>12</v>
      </c>
      <c r="C13" s="536" t="s">
        <v>17</v>
      </c>
      <c r="D13" s="539"/>
      <c r="E13" s="539">
        <v>0.85</v>
      </c>
      <c r="F13" s="539">
        <v>1.4</v>
      </c>
      <c r="G13" s="539">
        <f t="shared" si="0"/>
        <v>0</v>
      </c>
      <c r="H13" s="540">
        <v>1.0367170000000001</v>
      </c>
      <c r="I13" s="541">
        <f t="shared" si="1"/>
        <v>0</v>
      </c>
      <c r="J13" s="539">
        <f t="shared" si="2"/>
        <v>0</v>
      </c>
      <c r="K13" s="541">
        <f t="shared" si="3"/>
        <v>0</v>
      </c>
      <c r="L13" s="539">
        <f t="shared" si="12"/>
        <v>0</v>
      </c>
      <c r="M13" s="539">
        <f t="shared" si="4"/>
        <v>0</v>
      </c>
      <c r="N13" s="539">
        <f t="shared" si="13"/>
        <v>0</v>
      </c>
      <c r="O13" s="539">
        <f t="shared" si="14"/>
        <v>0</v>
      </c>
      <c r="P13" s="538">
        <f t="shared" si="11"/>
        <v>7</v>
      </c>
      <c r="Q13" s="536">
        <v>12</v>
      </c>
      <c r="R13" s="536" t="s">
        <v>17</v>
      </c>
      <c r="S13" s="539"/>
      <c r="T13" s="539">
        <v>0.85</v>
      </c>
      <c r="U13" s="539">
        <v>1.4</v>
      </c>
      <c r="V13" s="539">
        <f t="shared" si="5"/>
        <v>0</v>
      </c>
      <c r="W13" s="540">
        <v>1.0367170000000001</v>
      </c>
      <c r="X13" s="541">
        <f t="shared" si="6"/>
        <v>0</v>
      </c>
      <c r="Y13" s="539">
        <f t="shared" si="7"/>
        <v>0</v>
      </c>
      <c r="Z13" s="541">
        <f t="shared" si="8"/>
        <v>0</v>
      </c>
      <c r="AA13" s="539">
        <f t="shared" si="12"/>
        <v>0</v>
      </c>
      <c r="AB13" s="539">
        <f t="shared" si="9"/>
        <v>0</v>
      </c>
      <c r="AC13" s="539">
        <f t="shared" si="13"/>
        <v>0</v>
      </c>
      <c r="AD13" s="539">
        <f t="shared" si="14"/>
        <v>0</v>
      </c>
    </row>
    <row r="14" spans="1:30" ht="18" customHeight="1">
      <c r="A14" s="538">
        <f t="shared" si="10"/>
        <v>8</v>
      </c>
      <c r="B14" s="536">
        <v>16</v>
      </c>
      <c r="C14" s="536" t="s">
        <v>17</v>
      </c>
      <c r="D14" s="539"/>
      <c r="E14" s="539">
        <v>1</v>
      </c>
      <c r="F14" s="539">
        <v>1.5</v>
      </c>
      <c r="G14" s="539">
        <f t="shared" si="0"/>
        <v>0</v>
      </c>
      <c r="H14" s="540">
        <v>1.0434779999999999</v>
      </c>
      <c r="I14" s="541">
        <f t="shared" si="1"/>
        <v>0</v>
      </c>
      <c r="J14" s="539">
        <f t="shared" si="2"/>
        <v>0</v>
      </c>
      <c r="K14" s="541">
        <f t="shared" si="3"/>
        <v>0</v>
      </c>
      <c r="L14" s="539">
        <f t="shared" si="12"/>
        <v>0</v>
      </c>
      <c r="M14" s="539">
        <f t="shared" si="4"/>
        <v>0</v>
      </c>
      <c r="N14" s="539">
        <f t="shared" si="13"/>
        <v>0</v>
      </c>
      <c r="O14" s="539">
        <f t="shared" si="14"/>
        <v>0</v>
      </c>
      <c r="P14" s="538">
        <f t="shared" si="11"/>
        <v>8</v>
      </c>
      <c r="Q14" s="536">
        <v>16</v>
      </c>
      <c r="R14" s="536" t="s">
        <v>17</v>
      </c>
      <c r="S14" s="539"/>
      <c r="T14" s="539">
        <v>1</v>
      </c>
      <c r="U14" s="539">
        <v>1.5</v>
      </c>
      <c r="V14" s="539">
        <f t="shared" si="5"/>
        <v>0</v>
      </c>
      <c r="W14" s="540">
        <v>1.0434779999999999</v>
      </c>
      <c r="X14" s="541">
        <f t="shared" si="6"/>
        <v>0</v>
      </c>
      <c r="Y14" s="539">
        <f t="shared" si="7"/>
        <v>0</v>
      </c>
      <c r="Z14" s="541">
        <f t="shared" si="8"/>
        <v>0</v>
      </c>
      <c r="AA14" s="539">
        <f t="shared" si="12"/>
        <v>0</v>
      </c>
      <c r="AB14" s="539">
        <f t="shared" si="9"/>
        <v>0</v>
      </c>
      <c r="AC14" s="539">
        <f t="shared" si="13"/>
        <v>0</v>
      </c>
      <c r="AD14" s="539">
        <f t="shared" si="14"/>
        <v>0</v>
      </c>
    </row>
    <row r="15" spans="1:30" ht="15" customHeight="1">
      <c r="A15" s="538">
        <f t="shared" si="10"/>
        <v>9</v>
      </c>
      <c r="B15" s="536">
        <v>36</v>
      </c>
      <c r="C15" s="536" t="s">
        <v>17</v>
      </c>
      <c r="D15" s="539"/>
      <c r="E15" s="539">
        <v>1.55</v>
      </c>
      <c r="F15" s="539">
        <v>2.0499999999999998</v>
      </c>
      <c r="G15" s="539">
        <f t="shared" si="0"/>
        <v>0</v>
      </c>
      <c r="H15" s="540">
        <v>1.0526310000000001</v>
      </c>
      <c r="I15" s="541">
        <f t="shared" si="1"/>
        <v>0</v>
      </c>
      <c r="J15" s="539">
        <f t="shared" si="2"/>
        <v>0</v>
      </c>
      <c r="K15" s="541">
        <f t="shared" si="3"/>
        <v>0</v>
      </c>
      <c r="L15" s="539">
        <f t="shared" si="12"/>
        <v>0</v>
      </c>
      <c r="M15" s="539">
        <f t="shared" si="4"/>
        <v>0</v>
      </c>
      <c r="N15" s="539">
        <f t="shared" si="13"/>
        <v>0</v>
      </c>
      <c r="O15" s="539">
        <f t="shared" si="14"/>
        <v>0</v>
      </c>
      <c r="P15" s="538">
        <f t="shared" si="11"/>
        <v>9</v>
      </c>
      <c r="Q15" s="536">
        <v>36</v>
      </c>
      <c r="R15" s="536" t="s">
        <v>17</v>
      </c>
      <c r="S15" s="539"/>
      <c r="T15" s="539">
        <v>1.55</v>
      </c>
      <c r="U15" s="539">
        <v>2.0499999999999998</v>
      </c>
      <c r="V15" s="539">
        <f t="shared" si="5"/>
        <v>0</v>
      </c>
      <c r="W15" s="540">
        <v>1.0526310000000001</v>
      </c>
      <c r="X15" s="541">
        <f t="shared" si="6"/>
        <v>0</v>
      </c>
      <c r="Y15" s="539">
        <f t="shared" si="7"/>
        <v>0</v>
      </c>
      <c r="Z15" s="541">
        <f t="shared" si="8"/>
        <v>0</v>
      </c>
      <c r="AA15" s="539">
        <f t="shared" si="12"/>
        <v>0</v>
      </c>
      <c r="AB15" s="539">
        <f t="shared" si="9"/>
        <v>0</v>
      </c>
      <c r="AC15" s="539">
        <f t="shared" si="13"/>
        <v>0</v>
      </c>
      <c r="AD15" s="539">
        <f t="shared" si="14"/>
        <v>0</v>
      </c>
    </row>
    <row r="16" spans="1:30" ht="15" customHeight="1" thickBot="1">
      <c r="A16" s="542"/>
      <c r="B16" s="543"/>
      <c r="C16" s="536"/>
      <c r="D16" s="539"/>
      <c r="E16" s="539"/>
      <c r="F16" s="539"/>
      <c r="G16" s="539"/>
      <c r="H16" s="536"/>
      <c r="I16" s="541"/>
      <c r="J16" s="539"/>
      <c r="K16" s="541"/>
      <c r="L16" s="541"/>
      <c r="M16" s="539"/>
      <c r="N16" s="539"/>
      <c r="O16" s="539"/>
      <c r="P16" s="542"/>
      <c r="Q16" s="543"/>
      <c r="R16" s="536"/>
      <c r="S16" s="539"/>
      <c r="T16" s="539"/>
      <c r="U16" s="539"/>
      <c r="V16" s="539"/>
      <c r="W16" s="536"/>
      <c r="X16" s="541"/>
      <c r="Y16" s="539"/>
      <c r="Z16" s="541"/>
      <c r="AA16" s="541"/>
      <c r="AB16" s="539"/>
      <c r="AC16" s="539"/>
      <c r="AD16" s="539"/>
    </row>
    <row r="17" spans="1:30" ht="15.75" customHeight="1" thickTop="1" thickBot="1">
      <c r="A17" s="186"/>
      <c r="B17" s="186" t="s">
        <v>18</v>
      </c>
      <c r="C17" s="187"/>
      <c r="D17" s="188">
        <f>SUM(D7:D15)</f>
        <v>0</v>
      </c>
      <c r="E17" s="188"/>
      <c r="F17" s="188"/>
      <c r="G17" s="192"/>
      <c r="H17" s="192"/>
      <c r="I17" s="192"/>
      <c r="J17" s="188">
        <f t="shared" ref="J17:AD17" si="15">SUM(J7:J15)</f>
        <v>0</v>
      </c>
      <c r="K17" s="192">
        <f t="shared" si="15"/>
        <v>0</v>
      </c>
      <c r="L17" s="192">
        <f t="shared" si="15"/>
        <v>0</v>
      </c>
      <c r="M17" s="188">
        <f t="shared" si="15"/>
        <v>0</v>
      </c>
      <c r="N17" s="188">
        <f t="shared" si="15"/>
        <v>0</v>
      </c>
      <c r="O17" s="188">
        <f t="shared" si="15"/>
        <v>0</v>
      </c>
      <c r="P17" s="186"/>
      <c r="Q17" s="186" t="s">
        <v>18</v>
      </c>
      <c r="R17" s="187"/>
      <c r="S17" s="188">
        <f>SUM(S7:S15)</f>
        <v>105.11</v>
      </c>
      <c r="T17" s="188"/>
      <c r="U17" s="188"/>
      <c r="V17" s="192"/>
      <c r="W17" s="192"/>
      <c r="X17" s="192"/>
      <c r="Y17" s="188">
        <f t="shared" si="15"/>
        <v>102.48</v>
      </c>
      <c r="Z17" s="192">
        <f t="shared" si="15"/>
        <v>7.88</v>
      </c>
      <c r="AA17" s="192">
        <f t="shared" si="15"/>
        <v>91.19</v>
      </c>
      <c r="AB17" s="188">
        <f t="shared" si="15"/>
        <v>36.26</v>
      </c>
      <c r="AC17" s="188">
        <f t="shared" si="15"/>
        <v>57.38</v>
      </c>
      <c r="AD17" s="188">
        <f t="shared" si="15"/>
        <v>14.68</v>
      </c>
    </row>
    <row r="18" spans="1:30" ht="16.5" customHeight="1" thickTop="1">
      <c r="A18" s="181"/>
      <c r="B18" s="182"/>
      <c r="C18" s="182"/>
      <c r="D18" s="183"/>
      <c r="E18" s="183"/>
      <c r="F18" s="183"/>
      <c r="G18" s="184"/>
      <c r="H18" s="185"/>
      <c r="I18" s="185"/>
      <c r="J18" s="184"/>
      <c r="K18" s="185"/>
      <c r="L18" s="185"/>
      <c r="M18" s="185"/>
      <c r="N18" s="184"/>
      <c r="O18" s="184"/>
      <c r="P18" s="181"/>
      <c r="Q18" s="182"/>
      <c r="R18" s="182"/>
      <c r="S18" s="183"/>
      <c r="T18" s="183"/>
      <c r="U18" s="183"/>
      <c r="V18" s="184"/>
      <c r="W18" s="185"/>
      <c r="X18" s="185"/>
      <c r="Y18" s="184"/>
      <c r="Z18" s="185"/>
      <c r="AA18" s="185"/>
      <c r="AB18" s="185"/>
      <c r="AC18" s="184"/>
      <c r="AD18" s="184"/>
    </row>
    <row r="19" spans="1:30" ht="16.5" customHeight="1">
      <c r="A19" s="181"/>
      <c r="B19" s="182"/>
      <c r="C19" s="182"/>
      <c r="D19" s="183"/>
      <c r="E19" s="183"/>
      <c r="F19" s="183"/>
      <c r="G19" s="184"/>
      <c r="H19" s="185"/>
      <c r="I19" s="185"/>
      <c r="J19" s="184"/>
      <c r="K19" s="185"/>
      <c r="L19" s="185">
        <f>(J17-M17-K17)*1.2</f>
        <v>0</v>
      </c>
      <c r="M19" s="185"/>
      <c r="N19" s="184"/>
      <c r="O19" s="184"/>
      <c r="P19" s="181"/>
      <c r="Q19" s="182"/>
      <c r="R19" s="182"/>
      <c r="S19" s="183"/>
      <c r="T19" s="183"/>
      <c r="U19" s="183"/>
      <c r="V19" s="184"/>
      <c r="W19" s="185"/>
      <c r="X19" s="185"/>
      <c r="Y19" s="184"/>
      <c r="Z19" s="185"/>
      <c r="AA19" s="185">
        <f>(Y17-AB17-Z17)*1.2</f>
        <v>70.010000000000005</v>
      </c>
      <c r="AB19" s="185"/>
      <c r="AC19" s="184"/>
      <c r="AD19" s="184"/>
    </row>
    <row r="20" spans="1:30" ht="16.5" customHeight="1">
      <c r="A20" s="181"/>
      <c r="B20" s="193"/>
      <c r="C20" s="182"/>
      <c r="D20" s="183"/>
      <c r="E20" s="194"/>
      <c r="F20" s="183"/>
      <c r="G20" s="184"/>
      <c r="H20" s="185"/>
      <c r="I20" s="185"/>
      <c r="J20" s="184"/>
      <c r="K20" s="185"/>
      <c r="L20" s="185"/>
      <c r="M20" s="185"/>
      <c r="N20" s="184"/>
      <c r="O20" s="184"/>
      <c r="P20" s="181"/>
      <c r="Q20" s="193"/>
      <c r="R20" s="182"/>
      <c r="S20" s="183"/>
      <c r="T20" s="194"/>
      <c r="U20" s="183"/>
      <c r="V20" s="184"/>
      <c r="W20" s="185"/>
      <c r="X20" s="185"/>
      <c r="Y20" s="184"/>
      <c r="Z20" s="185"/>
      <c r="AA20" s="185"/>
      <c r="AB20" s="185"/>
      <c r="AC20" s="184"/>
      <c r="AD20" s="184"/>
    </row>
    <row r="21" spans="1:30" ht="16.5" customHeight="1">
      <c r="A21" s="195"/>
      <c r="B21" s="193"/>
      <c r="C21" s="182"/>
      <c r="D21" s="183"/>
      <c r="E21" s="196"/>
      <c r="F21" s="197"/>
      <c r="G21" s="184"/>
      <c r="H21" s="185"/>
      <c r="I21" s="185"/>
      <c r="J21" s="184"/>
      <c r="K21" s="185"/>
      <c r="L21" s="185"/>
      <c r="M21" s="185"/>
      <c r="N21" s="184"/>
      <c r="O21" s="184"/>
      <c r="P21" s="195"/>
      <c r="Q21" s="193"/>
      <c r="R21" s="182"/>
      <c r="S21" s="183"/>
      <c r="T21" s="196"/>
      <c r="U21" s="197"/>
      <c r="V21" s="184"/>
      <c r="W21" s="185"/>
      <c r="X21" s="185"/>
      <c r="Y21" s="184"/>
      <c r="Z21" s="185"/>
      <c r="AA21" s="185"/>
      <c r="AB21" s="185"/>
      <c r="AC21" s="184"/>
      <c r="AD21" s="184"/>
    </row>
    <row r="22" spans="1:30" ht="16.5" customHeight="1">
      <c r="A22" s="195"/>
      <c r="B22" s="193"/>
      <c r="C22" s="182"/>
      <c r="D22" s="183"/>
      <c r="E22" s="196"/>
      <c r="F22" s="197"/>
      <c r="G22" s="184"/>
      <c r="H22" s="185"/>
      <c r="I22" s="185"/>
      <c r="J22" s="184"/>
      <c r="K22" s="185"/>
      <c r="L22" s="185"/>
      <c r="M22" s="185"/>
      <c r="N22" s="184"/>
      <c r="O22" s="184"/>
      <c r="P22" s="195"/>
      <c r="Q22" s="193"/>
      <c r="R22" s="182"/>
      <c r="S22" s="183"/>
      <c r="T22" s="196"/>
      <c r="U22" s="197"/>
      <c r="V22" s="184"/>
      <c r="W22" s="185"/>
      <c r="X22" s="185"/>
      <c r="Y22" s="184"/>
      <c r="Z22" s="185"/>
      <c r="AA22" s="185"/>
      <c r="AB22" s="185"/>
      <c r="AC22" s="184"/>
      <c r="AD22" s="184"/>
    </row>
    <row r="23" spans="1:30" ht="16.5" customHeight="1" thickBot="1">
      <c r="A23" s="198"/>
      <c r="B23" s="193"/>
      <c r="C23" s="182"/>
      <c r="D23" s="183"/>
      <c r="E23" s="183"/>
      <c r="F23" s="183"/>
      <c r="G23" s="184"/>
      <c r="H23" s="185"/>
      <c r="I23" s="185"/>
      <c r="J23" s="184"/>
      <c r="K23" s="185"/>
      <c r="L23" s="185"/>
      <c r="M23" s="185"/>
      <c r="N23" s="184"/>
      <c r="O23" s="184"/>
      <c r="P23" s="198"/>
      <c r="Q23" s="193"/>
      <c r="R23" s="182"/>
      <c r="S23" s="183"/>
      <c r="T23" s="183"/>
      <c r="U23" s="183"/>
      <c r="V23" s="184"/>
      <c r="W23" s="185"/>
      <c r="X23" s="185"/>
      <c r="Y23" s="184"/>
      <c r="Z23" s="185"/>
      <c r="AA23" s="185"/>
      <c r="AB23" s="185"/>
      <c r="AC23" s="184"/>
      <c r="AD23" s="184"/>
    </row>
    <row r="24" spans="1:30" ht="16.5" customHeight="1" thickTop="1">
      <c r="A24" s="181"/>
      <c r="B24" s="193"/>
      <c r="C24" s="182"/>
      <c r="D24" s="183"/>
      <c r="E24" s="183"/>
      <c r="F24" s="183"/>
      <c r="G24" s="184"/>
      <c r="H24" s="185"/>
      <c r="I24" s="185"/>
      <c r="J24" s="510" t="s">
        <v>19</v>
      </c>
      <c r="K24" s="511"/>
      <c r="L24" s="511"/>
      <c r="M24" s="511"/>
      <c r="N24" s="511"/>
      <c r="O24" s="512"/>
      <c r="P24" s="181"/>
      <c r="Q24" s="193"/>
      <c r="R24" s="182"/>
      <c r="S24" s="183"/>
      <c r="T24" s="183"/>
      <c r="U24" s="183"/>
      <c r="V24" s="184"/>
      <c r="W24" s="185"/>
      <c r="X24" s="185"/>
      <c r="Y24" s="510" t="s">
        <v>19</v>
      </c>
      <c r="Z24" s="511"/>
      <c r="AA24" s="511"/>
      <c r="AB24" s="511"/>
      <c r="AC24" s="511"/>
      <c r="AD24" s="512"/>
    </row>
    <row r="25" spans="1:30" ht="16.5" customHeight="1" thickBot="1">
      <c r="A25" s="181"/>
      <c r="B25" s="182"/>
      <c r="C25" s="182"/>
      <c r="D25" s="183"/>
      <c r="E25" s="183"/>
      <c r="F25" s="183"/>
      <c r="G25" s="184"/>
      <c r="H25" s="185"/>
      <c r="I25" s="185"/>
      <c r="J25" s="184"/>
      <c r="K25" s="185"/>
      <c r="L25" s="185"/>
      <c r="M25" s="185"/>
      <c r="N25" s="184"/>
      <c r="O25" s="184"/>
      <c r="P25" s="181"/>
      <c r="Q25" s="182"/>
      <c r="R25" s="182"/>
      <c r="S25" s="183"/>
      <c r="T25" s="183"/>
      <c r="U25" s="183"/>
      <c r="V25" s="184"/>
      <c r="W25" s="185"/>
      <c r="X25" s="185"/>
      <c r="Y25" s="184"/>
      <c r="Z25" s="185"/>
      <c r="AA25" s="185"/>
      <c r="AB25" s="185"/>
      <c r="AC25" s="184"/>
      <c r="AD25" s="184"/>
    </row>
    <row r="26" spans="1:30" ht="16.5" customHeight="1" thickTop="1" thickBot="1">
      <c r="A26" s="199"/>
      <c r="B26" s="185"/>
      <c r="C26" s="513" t="s">
        <v>20</v>
      </c>
      <c r="D26" s="514"/>
      <c r="E26" s="515"/>
      <c r="F26" s="183"/>
      <c r="G26" s="184"/>
      <c r="H26" s="185"/>
      <c r="I26" s="200" t="s">
        <v>21</v>
      </c>
      <c r="J26" s="201" t="s">
        <v>11</v>
      </c>
      <c r="K26" s="202" t="s">
        <v>12</v>
      </c>
      <c r="L26" s="203" t="s">
        <v>13</v>
      </c>
      <c r="M26" s="204" t="s">
        <v>14</v>
      </c>
      <c r="N26" s="191" t="s">
        <v>15</v>
      </c>
      <c r="O26" s="191" t="s">
        <v>16</v>
      </c>
      <c r="P26" s="191" t="s">
        <v>22</v>
      </c>
      <c r="Q26" s="185"/>
      <c r="R26" s="513" t="s">
        <v>20</v>
      </c>
      <c r="S26" s="514"/>
      <c r="T26" s="515"/>
      <c r="U26" s="183"/>
      <c r="V26" s="184"/>
      <c r="W26" s="185"/>
      <c r="X26" s="200" t="s">
        <v>21</v>
      </c>
      <c r="Y26" s="201" t="s">
        <v>11</v>
      </c>
      <c r="Z26" s="202" t="s">
        <v>12</v>
      </c>
      <c r="AA26" s="203" t="s">
        <v>13</v>
      </c>
      <c r="AB26" s="204" t="s">
        <v>14</v>
      </c>
      <c r="AC26" s="191" t="s">
        <v>15</v>
      </c>
      <c r="AD26" s="191" t="s">
        <v>16</v>
      </c>
    </row>
    <row r="27" spans="1:30" ht="16.5" customHeight="1" thickTop="1" thickBot="1">
      <c r="A27" s="181"/>
      <c r="B27" s="185"/>
      <c r="C27" s="185"/>
      <c r="D27" s="205">
        <f>+D17</f>
        <v>0</v>
      </c>
      <c r="E27" s="184"/>
      <c r="F27" s="183"/>
      <c r="G27" s="184"/>
      <c r="H27" s="185"/>
      <c r="I27" s="201"/>
      <c r="J27" s="206">
        <f t="shared" ref="J27:AD27" si="16">+J17</f>
        <v>0</v>
      </c>
      <c r="K27" s="207">
        <f t="shared" si="16"/>
        <v>0</v>
      </c>
      <c r="L27" s="208">
        <f t="shared" si="16"/>
        <v>0</v>
      </c>
      <c r="M27" s="207">
        <f t="shared" si="16"/>
        <v>0</v>
      </c>
      <c r="N27" s="208">
        <f>+J27-L27</f>
        <v>0</v>
      </c>
      <c r="O27" s="204">
        <f t="shared" si="16"/>
        <v>0</v>
      </c>
      <c r="P27" s="204">
        <f>+D10*E10*0.5</f>
        <v>0</v>
      </c>
      <c r="Q27" s="185"/>
      <c r="R27" s="185"/>
      <c r="S27" s="205">
        <f>+S17</f>
        <v>105.11</v>
      </c>
      <c r="T27" s="184"/>
      <c r="U27" s="183"/>
      <c r="V27" s="184"/>
      <c r="W27" s="185"/>
      <c r="X27" s="201"/>
      <c r="Y27" s="206">
        <f t="shared" si="16"/>
        <v>102.48</v>
      </c>
      <c r="Z27" s="207">
        <f t="shared" si="16"/>
        <v>7.88</v>
      </c>
      <c r="AA27" s="208">
        <f t="shared" si="16"/>
        <v>91.19</v>
      </c>
      <c r="AB27" s="207">
        <f t="shared" si="16"/>
        <v>36.26</v>
      </c>
      <c r="AC27" s="208">
        <f t="shared" si="16"/>
        <v>57.38</v>
      </c>
      <c r="AD27" s="204">
        <f t="shared" si="16"/>
        <v>14.68</v>
      </c>
    </row>
    <row r="28" spans="1:30" ht="16.5" customHeight="1" thickTop="1" thickBot="1">
      <c r="A28" s="181"/>
      <c r="B28" s="185"/>
      <c r="C28" s="185"/>
      <c r="D28" s="209"/>
      <c r="E28" s="184"/>
      <c r="F28" s="183"/>
      <c r="G28" s="184"/>
      <c r="H28" s="185"/>
      <c r="I28" s="210"/>
      <c r="J28" s="211"/>
      <c r="K28" s="209"/>
      <c r="L28" s="209"/>
      <c r="M28" s="209"/>
      <c r="N28" s="209"/>
      <c r="O28" s="209"/>
      <c r="P28" s="181"/>
      <c r="Q28" s="185"/>
      <c r="R28" s="185"/>
      <c r="S28" s="209"/>
      <c r="T28" s="184"/>
      <c r="U28" s="183"/>
      <c r="V28" s="184"/>
      <c r="W28" s="185"/>
      <c r="X28" s="210"/>
      <c r="Y28" s="211"/>
      <c r="Z28" s="209"/>
      <c r="AA28" s="209"/>
      <c r="AB28" s="209"/>
      <c r="AC28" s="209"/>
      <c r="AD28" s="209"/>
    </row>
    <row r="29" spans="1:30" ht="16.5" customHeight="1" thickTop="1" thickBot="1">
      <c r="A29" s="91"/>
      <c r="B29" s="61"/>
      <c r="C29" s="92"/>
      <c r="D29" s="93"/>
      <c r="E29" s="92"/>
      <c r="F29" s="61"/>
      <c r="G29" s="61"/>
      <c r="H29" s="212"/>
      <c r="I29" s="206">
        <v>90</v>
      </c>
      <c r="J29" s="206">
        <f>J27*I29%</f>
        <v>0</v>
      </c>
      <c r="K29" s="212"/>
      <c r="L29" s="61"/>
      <c r="M29" s="61"/>
      <c r="N29" s="61"/>
      <c r="O29" s="61"/>
      <c r="P29" s="91"/>
      <c r="Q29" s="61"/>
      <c r="R29" s="92"/>
      <c r="S29" s="93"/>
      <c r="T29" s="92"/>
      <c r="U29" s="61"/>
      <c r="V29" s="61"/>
      <c r="W29" s="212"/>
      <c r="X29" s="206">
        <v>90</v>
      </c>
      <c r="Y29" s="206">
        <f>Y27*X29%</f>
        <v>92.23</v>
      </c>
      <c r="Z29" s="212"/>
      <c r="AA29" s="61"/>
      <c r="AB29" s="61"/>
      <c r="AC29" s="61"/>
      <c r="AD29" s="61"/>
    </row>
    <row r="30" spans="1:30" ht="16.5" customHeight="1" thickTop="1" thickBot="1">
      <c r="A30" s="91"/>
      <c r="B30" s="61"/>
      <c r="C30" s="92"/>
      <c r="D30" s="93"/>
      <c r="E30" s="92"/>
      <c r="F30" s="61"/>
      <c r="G30" s="61"/>
      <c r="H30" s="212"/>
      <c r="I30" s="206">
        <v>80</v>
      </c>
      <c r="J30" s="206">
        <f>J27*I30%</f>
        <v>0</v>
      </c>
      <c r="K30" s="212"/>
      <c r="L30" s="61"/>
      <c r="M30" s="61"/>
      <c r="N30" s="61"/>
      <c r="O30" s="61"/>
      <c r="P30" s="91"/>
      <c r="Q30" s="61"/>
      <c r="R30" s="92"/>
      <c r="S30" s="93"/>
      <c r="T30" s="92"/>
      <c r="U30" s="61"/>
      <c r="V30" s="61"/>
      <c r="W30" s="212"/>
      <c r="X30" s="206">
        <v>80</v>
      </c>
      <c r="Y30" s="206">
        <f>Y27*X30%</f>
        <v>81.98</v>
      </c>
      <c r="Z30" s="212"/>
      <c r="AA30" s="61"/>
      <c r="AB30" s="61"/>
      <c r="AC30" s="61"/>
      <c r="AD30" s="61"/>
    </row>
    <row r="31" spans="1:30" ht="16.5" customHeight="1" thickTop="1" thickBot="1">
      <c r="A31" s="91"/>
      <c r="B31" s="61"/>
      <c r="C31" s="92"/>
      <c r="D31" s="93"/>
      <c r="E31" s="92"/>
      <c r="F31" s="61"/>
      <c r="G31" s="61"/>
      <c r="H31" s="212"/>
      <c r="I31" s="206">
        <v>70</v>
      </c>
      <c r="J31" s="206">
        <f>J27*I31%</f>
        <v>0</v>
      </c>
      <c r="K31" s="212"/>
      <c r="L31" s="61"/>
      <c r="M31" s="61"/>
      <c r="N31" s="61"/>
      <c r="O31" s="61"/>
      <c r="P31" s="91"/>
      <c r="Q31" s="61"/>
      <c r="R31" s="92"/>
      <c r="S31" s="93"/>
      <c r="T31" s="92"/>
      <c r="U31" s="61"/>
      <c r="V31" s="61"/>
      <c r="W31" s="212"/>
      <c r="X31" s="206">
        <v>70</v>
      </c>
      <c r="Y31" s="206">
        <f>Y27*X31%</f>
        <v>71.739999999999995</v>
      </c>
      <c r="Z31" s="212"/>
      <c r="AA31" s="61"/>
      <c r="AB31" s="61"/>
      <c r="AC31" s="61"/>
      <c r="AD31" s="61"/>
    </row>
    <row r="32" spans="1:30" ht="16.5" customHeight="1" thickTop="1" thickBot="1">
      <c r="A32" s="91"/>
      <c r="B32" s="61"/>
      <c r="C32" s="92"/>
      <c r="D32" s="93"/>
      <c r="E32" s="92"/>
      <c r="F32" s="61"/>
      <c r="G32" s="61"/>
      <c r="H32" s="212"/>
      <c r="I32" s="206">
        <v>60</v>
      </c>
      <c r="J32" s="206">
        <f>J27*I32%</f>
        <v>0</v>
      </c>
      <c r="K32" s="212"/>
      <c r="L32" s="61"/>
      <c r="M32" s="61"/>
      <c r="N32" s="61"/>
      <c r="O32" s="61"/>
      <c r="P32" s="91"/>
      <c r="Q32" s="61"/>
      <c r="R32" s="92"/>
      <c r="S32" s="93"/>
      <c r="T32" s="92"/>
      <c r="U32" s="61"/>
      <c r="V32" s="61"/>
      <c r="W32" s="212"/>
      <c r="X32" s="206">
        <v>60</v>
      </c>
      <c r="Y32" s="206">
        <f>Y27*X32%</f>
        <v>61.49</v>
      </c>
      <c r="Z32" s="212"/>
      <c r="AA32" s="61"/>
      <c r="AB32" s="61"/>
      <c r="AC32" s="61"/>
      <c r="AD32" s="61"/>
    </row>
    <row r="33" spans="1:30" ht="16.5" customHeight="1" thickTop="1" thickBot="1">
      <c r="A33" s="91"/>
      <c r="B33" s="61"/>
      <c r="C33" s="92"/>
      <c r="D33" s="93"/>
      <c r="E33" s="92"/>
      <c r="F33" s="61"/>
      <c r="G33" s="61"/>
      <c r="H33" s="212"/>
      <c r="I33" s="206">
        <v>50</v>
      </c>
      <c r="J33" s="206">
        <f>J27*I33%</f>
        <v>0</v>
      </c>
      <c r="K33" s="212"/>
      <c r="L33" s="61"/>
      <c r="M33" s="61"/>
      <c r="N33" s="61"/>
      <c r="O33" s="61"/>
      <c r="P33" s="91"/>
      <c r="Q33" s="61"/>
      <c r="R33" s="92"/>
      <c r="S33" s="93"/>
      <c r="T33" s="92"/>
      <c r="U33" s="61"/>
      <c r="V33" s="61"/>
      <c r="W33" s="212"/>
      <c r="X33" s="206">
        <v>50</v>
      </c>
      <c r="Y33" s="206">
        <f>Y27*X33%</f>
        <v>51.24</v>
      </c>
      <c r="Z33" s="212"/>
      <c r="AA33" s="61"/>
      <c r="AB33" s="61"/>
      <c r="AC33" s="61"/>
      <c r="AD33" s="61"/>
    </row>
    <row r="34" spans="1:30" ht="16.5" customHeight="1" thickTop="1" thickBot="1">
      <c r="A34" s="91"/>
      <c r="B34" s="61"/>
      <c r="C34" s="92"/>
      <c r="D34" s="93"/>
      <c r="E34" s="92"/>
      <c r="F34" s="61"/>
      <c r="G34" s="61"/>
      <c r="H34" s="212"/>
      <c r="I34" s="206">
        <v>40</v>
      </c>
      <c r="J34" s="206">
        <f>J27*I34%</f>
        <v>0</v>
      </c>
      <c r="K34" s="212"/>
      <c r="L34" s="61"/>
      <c r="M34" s="61"/>
      <c r="N34" s="61"/>
      <c r="O34" s="61"/>
      <c r="P34" s="91"/>
      <c r="Q34" s="61"/>
      <c r="R34" s="92"/>
      <c r="S34" s="93"/>
      <c r="T34" s="92"/>
      <c r="U34" s="61"/>
      <c r="V34" s="61"/>
      <c r="W34" s="212"/>
      <c r="X34" s="206">
        <v>40</v>
      </c>
      <c r="Y34" s="206">
        <f>Y27*X34%</f>
        <v>40.99</v>
      </c>
      <c r="Z34" s="212"/>
      <c r="AA34" s="61"/>
      <c r="AB34" s="61"/>
      <c r="AC34" s="61"/>
      <c r="AD34" s="61"/>
    </row>
    <row r="35" spans="1:30" ht="16.5" customHeight="1" thickTop="1" thickBot="1">
      <c r="A35" s="91"/>
      <c r="B35" s="61"/>
      <c r="C35" s="92"/>
      <c r="D35" s="93"/>
      <c r="E35" s="92"/>
      <c r="F35" s="61"/>
      <c r="G35" s="61"/>
      <c r="H35" s="212"/>
      <c r="I35" s="206">
        <v>30</v>
      </c>
      <c r="J35" s="206">
        <f>J27*I35%</f>
        <v>0</v>
      </c>
      <c r="K35" s="212"/>
      <c r="L35" s="61"/>
      <c r="M35" s="61"/>
      <c r="N35" s="61"/>
      <c r="O35" s="61"/>
      <c r="P35" s="91"/>
      <c r="Q35" s="61"/>
      <c r="R35" s="92"/>
      <c r="S35" s="93"/>
      <c r="T35" s="92"/>
      <c r="U35" s="61"/>
      <c r="V35" s="61"/>
      <c r="W35" s="212"/>
      <c r="X35" s="206">
        <v>30</v>
      </c>
      <c r="Y35" s="206">
        <f>Y27*X35%</f>
        <v>30.74</v>
      </c>
      <c r="Z35" s="212"/>
      <c r="AA35" s="61"/>
      <c r="AB35" s="61"/>
      <c r="AC35" s="61"/>
      <c r="AD35" s="61"/>
    </row>
    <row r="36" spans="1:30" ht="16.5" customHeight="1" thickTop="1" thickBot="1">
      <c r="A36" s="91"/>
      <c r="B36" s="61"/>
      <c r="C36" s="92"/>
      <c r="D36" s="93"/>
      <c r="E36" s="92"/>
      <c r="F36" s="61"/>
      <c r="G36" s="61"/>
      <c r="H36" s="212"/>
      <c r="I36" s="206">
        <v>20</v>
      </c>
      <c r="J36" s="206">
        <f>J27*I36%</f>
        <v>0</v>
      </c>
      <c r="K36" s="212"/>
      <c r="L36" s="61"/>
      <c r="M36" s="61"/>
      <c r="N36" s="61"/>
      <c r="O36" s="61"/>
      <c r="P36" s="91"/>
      <c r="Q36" s="61"/>
      <c r="R36" s="92"/>
      <c r="S36" s="93"/>
      <c r="T36" s="92"/>
      <c r="U36" s="61"/>
      <c r="V36" s="61"/>
      <c r="W36" s="212"/>
      <c r="X36" s="206">
        <v>20</v>
      </c>
      <c r="Y36" s="206">
        <f>Y27*X36%</f>
        <v>20.5</v>
      </c>
      <c r="Z36" s="212"/>
      <c r="AA36" s="61"/>
      <c r="AB36" s="61"/>
      <c r="AC36" s="61"/>
      <c r="AD36" s="61"/>
    </row>
    <row r="37" spans="1:30" ht="16.5" customHeight="1" thickTop="1" thickBot="1">
      <c r="A37" s="91"/>
      <c r="B37" s="61"/>
      <c r="C37" s="92"/>
      <c r="D37" s="93"/>
      <c r="E37" s="92"/>
      <c r="F37" s="61"/>
      <c r="G37" s="61"/>
      <c r="H37" s="212"/>
      <c r="I37" s="206">
        <v>10</v>
      </c>
      <c r="J37" s="206">
        <f>J27*I37%</f>
        <v>0</v>
      </c>
      <c r="K37" s="212"/>
      <c r="L37" s="61"/>
      <c r="M37" s="61"/>
      <c r="N37" s="61"/>
      <c r="O37" s="61"/>
      <c r="P37" s="91"/>
      <c r="Q37" s="61"/>
      <c r="R37" s="92"/>
      <c r="S37" s="93"/>
      <c r="T37" s="92"/>
      <c r="U37" s="61"/>
      <c r="V37" s="61"/>
      <c r="W37" s="212"/>
      <c r="X37" s="206">
        <v>10</v>
      </c>
      <c r="Y37" s="206">
        <f>Y27*X37%</f>
        <v>10.25</v>
      </c>
      <c r="Z37" s="212"/>
      <c r="AA37" s="61"/>
      <c r="AB37" s="61"/>
      <c r="AC37" s="61"/>
      <c r="AD37" s="61"/>
    </row>
    <row r="38" spans="1:30" ht="16.5" customHeight="1" thickTop="1">
      <c r="A38" s="516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6.5" customHeight="1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6.5" customHeight="1">
      <c r="A40" s="544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ht="16.5" customHeight="1">
      <c r="A41" s="545"/>
      <c r="B41" s="546"/>
      <c r="C41" s="546"/>
      <c r="D41" s="546"/>
      <c r="E41" s="546"/>
      <c r="F41" s="546"/>
      <c r="G41" s="546"/>
      <c r="H41" s="547"/>
      <c r="I41" s="548"/>
      <c r="J41" s="548"/>
      <c r="K41" s="548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6.5" customHeight="1">
      <c r="A42" s="549"/>
      <c r="B42" s="54"/>
      <c r="C42" s="550"/>
      <c r="D42" s="546"/>
      <c r="E42" s="550"/>
      <c r="F42" s="54"/>
      <c r="G42" s="54"/>
      <c r="H42" s="547"/>
      <c r="I42" s="548"/>
      <c r="J42" s="548"/>
      <c r="K42" s="548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ht="16.5" customHeight="1">
      <c r="A43" s="549"/>
      <c r="B43" s="54"/>
      <c r="C43" s="550"/>
      <c r="D43" s="546"/>
      <c r="E43" s="550"/>
      <c r="F43" s="54"/>
      <c r="G43" s="54"/>
      <c r="H43" s="547"/>
      <c r="I43" s="548"/>
      <c r="J43" s="548"/>
      <c r="K43" s="548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ht="16.5" customHeight="1">
      <c r="A44" s="549"/>
      <c r="B44" s="54"/>
      <c r="C44" s="550"/>
      <c r="D44" s="546"/>
      <c r="E44" s="550"/>
      <c r="F44" s="54"/>
      <c r="G44" s="54"/>
      <c r="H44" s="547"/>
      <c r="I44" s="548"/>
      <c r="J44" s="548"/>
      <c r="K44" s="548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ht="16.5" customHeight="1">
      <c r="A45" s="549"/>
      <c r="B45" s="54"/>
      <c r="C45" s="550"/>
      <c r="D45" s="546"/>
      <c r="E45" s="550"/>
      <c r="F45" s="54"/>
      <c r="G45" s="54"/>
      <c r="H45" s="547"/>
      <c r="I45" s="548"/>
      <c r="J45" s="548"/>
      <c r="K45" s="548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ht="16.5" customHeight="1">
      <c r="A46" s="549"/>
      <c r="B46" s="54"/>
      <c r="C46" s="550"/>
      <c r="D46" s="546"/>
      <c r="E46" s="550"/>
      <c r="F46" s="54"/>
      <c r="G46" s="54"/>
      <c r="H46" s="547"/>
      <c r="I46" s="548"/>
      <c r="J46" s="548"/>
      <c r="K46" s="548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18.75" customHeight="1">
      <c r="A47" s="549"/>
      <c r="B47" s="54"/>
      <c r="C47" s="550"/>
      <c r="D47" s="546"/>
      <c r="E47" s="550"/>
      <c r="F47" s="54"/>
      <c r="G47" s="54"/>
      <c r="H47" s="547"/>
      <c r="I47" s="548"/>
      <c r="J47" s="548"/>
      <c r="K47" s="548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 ht="18.75" customHeight="1">
      <c r="A48" s="500" t="s">
        <v>0</v>
      </c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"/>
      <c r="S48" s="4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s="54" customFormat="1" ht="18.75" customHeight="1">
      <c r="A49" s="500" t="s">
        <v>23</v>
      </c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"/>
      <c r="S49" s="43"/>
    </row>
    <row r="50" spans="1:30" ht="18.75" customHeight="1" thickBot="1">
      <c r="A50" s="44"/>
      <c r="B50" s="45"/>
      <c r="C50" s="45"/>
      <c r="D50" s="43"/>
      <c r="E50" s="43"/>
      <c r="F50" s="43"/>
      <c r="G50" s="43"/>
      <c r="H50" s="45"/>
      <c r="I50" s="45"/>
      <c r="J50" s="46"/>
      <c r="K50" s="45"/>
      <c r="L50" s="45"/>
      <c r="M50" s="45"/>
      <c r="N50" s="43"/>
      <c r="O50" s="43"/>
      <c r="P50" s="43"/>
      <c r="Q50" s="43"/>
      <c r="R50" s="43"/>
      <c r="S50" s="4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27.75" customHeight="1" thickTop="1" thickBot="1">
      <c r="A51" s="35" t="s">
        <v>24</v>
      </c>
      <c r="B51" s="6" t="s">
        <v>3</v>
      </c>
      <c r="C51" s="7" t="s">
        <v>4</v>
      </c>
      <c r="D51" s="8" t="s">
        <v>5</v>
      </c>
      <c r="E51" s="8" t="s">
        <v>25</v>
      </c>
      <c r="F51" s="8" t="s">
        <v>26</v>
      </c>
      <c r="G51" s="8" t="s">
        <v>27</v>
      </c>
      <c r="H51" s="7" t="s">
        <v>28</v>
      </c>
      <c r="I51" s="7" t="s">
        <v>29</v>
      </c>
      <c r="J51" s="40" t="s">
        <v>30</v>
      </c>
      <c r="K51" s="7" t="s">
        <v>31</v>
      </c>
      <c r="L51" s="7" t="s">
        <v>6</v>
      </c>
      <c r="M51" s="551" t="s">
        <v>11</v>
      </c>
      <c r="N51" s="552" t="s">
        <v>12</v>
      </c>
      <c r="O51" s="552" t="s">
        <v>32</v>
      </c>
      <c r="P51" s="553" t="s">
        <v>33</v>
      </c>
      <c r="Q51" s="554" t="s">
        <v>34</v>
      </c>
      <c r="R51" s="554" t="s">
        <v>35</v>
      </c>
      <c r="S51" s="554" t="s">
        <v>36</v>
      </c>
      <c r="T51" s="554" t="s">
        <v>37</v>
      </c>
      <c r="U51" s="554" t="s">
        <v>38</v>
      </c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30" customHeight="1" thickTop="1">
      <c r="A52" s="555"/>
      <c r="B52" s="377"/>
      <c r="C52" s="377"/>
      <c r="D52" s="556"/>
      <c r="E52" s="556"/>
      <c r="F52" s="556"/>
      <c r="G52" s="556"/>
      <c r="H52" s="377"/>
      <c r="I52" s="377"/>
      <c r="J52" s="557"/>
      <c r="K52" s="377"/>
      <c r="L52" s="377"/>
      <c r="M52" s="377"/>
      <c r="N52" s="556"/>
      <c r="O52" s="556"/>
      <c r="P52" s="556"/>
      <c r="Q52" s="556"/>
      <c r="R52" s="556"/>
      <c r="S52" s="556"/>
      <c r="T52" s="556"/>
      <c r="U52" s="556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30" customHeight="1">
      <c r="A53" s="376" t="s">
        <v>39</v>
      </c>
      <c r="B53" s="377">
        <v>48</v>
      </c>
      <c r="C53" s="377" t="s">
        <v>40</v>
      </c>
      <c r="D53" s="378">
        <v>5.0199999999999996</v>
      </c>
      <c r="E53" s="378">
        <v>34.1</v>
      </c>
      <c r="F53" s="378">
        <v>32.200000000000003</v>
      </c>
      <c r="G53" s="378">
        <v>34.1</v>
      </c>
      <c r="H53" s="378">
        <v>31.63</v>
      </c>
      <c r="I53" s="379">
        <f>+(E53-F53)</f>
        <v>1.9</v>
      </c>
      <c r="J53" s="380">
        <f t="shared" ref="J53:J98" si="17">+(G53-H53)</f>
        <v>2.4700000000000002</v>
      </c>
      <c r="K53" s="381">
        <f t="shared" ref="K53:K98" si="18">+((I53+J53)/2)+0.1+1</f>
        <v>3.29</v>
      </c>
      <c r="L53" s="382">
        <v>6</v>
      </c>
      <c r="M53" s="379">
        <f t="shared" ref="M53:M98" si="19">(L53*K53*D53)</f>
        <v>99.09</v>
      </c>
      <c r="N53" s="378">
        <f t="shared" ref="N53:N98" si="20">(L53*D53*0.1)</f>
        <v>3.01</v>
      </c>
      <c r="O53" s="378">
        <f t="shared" ref="O53:O98" si="21">((((B53*2.54)/100)*((B53*2.54)/100)*3.14)/4)*D53</f>
        <v>5.86</v>
      </c>
      <c r="P53" s="383">
        <f>+M53-(N53+O53)</f>
        <v>90.22</v>
      </c>
      <c r="Q53" s="378">
        <f t="shared" ref="Q53:Q98" si="22">(L53*D53*((B53*2.54/100)+0.3)-O53)*1.2</f>
        <v>47.88</v>
      </c>
      <c r="R53" s="378"/>
      <c r="S53" s="378">
        <f t="shared" ref="S53:S98" si="23">+(N53+O53+Q53/1.2)*1.3</f>
        <v>63.4</v>
      </c>
      <c r="T53" s="378">
        <v>0.5</v>
      </c>
      <c r="U53" s="378">
        <f t="shared" ref="U53:U98" si="24">+D53*L53*T53</f>
        <v>15.06</v>
      </c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ht="30" customHeight="1">
      <c r="A54" s="376" t="s">
        <v>41</v>
      </c>
      <c r="B54" s="377">
        <v>48</v>
      </c>
      <c r="C54" s="377" t="s">
        <v>40</v>
      </c>
      <c r="D54" s="378">
        <v>12.96</v>
      </c>
      <c r="E54" s="378">
        <v>34.1</v>
      </c>
      <c r="F54" s="378">
        <v>31.63</v>
      </c>
      <c r="G54" s="378">
        <v>33.450000000000003</v>
      </c>
      <c r="H54" s="377">
        <v>31.51</v>
      </c>
      <c r="I54" s="379">
        <f>+(E54-F54)</f>
        <v>2.4700000000000002</v>
      </c>
      <c r="J54" s="380">
        <f t="shared" si="17"/>
        <v>1.94</v>
      </c>
      <c r="K54" s="381">
        <f t="shared" si="18"/>
        <v>3.31</v>
      </c>
      <c r="L54" s="382">
        <v>6</v>
      </c>
      <c r="M54" s="379">
        <f t="shared" si="19"/>
        <v>257.39</v>
      </c>
      <c r="N54" s="378">
        <f t="shared" si="20"/>
        <v>7.78</v>
      </c>
      <c r="O54" s="378">
        <f t="shared" si="21"/>
        <v>15.12</v>
      </c>
      <c r="P54" s="383">
        <f>+M54-(N54+O54)</f>
        <v>234.49</v>
      </c>
      <c r="Q54" s="378">
        <f t="shared" si="22"/>
        <v>123.62</v>
      </c>
      <c r="R54" s="378"/>
      <c r="S54" s="378">
        <f t="shared" si="23"/>
        <v>163.69</v>
      </c>
      <c r="T54" s="378">
        <v>0.5</v>
      </c>
      <c r="U54" s="378">
        <f t="shared" si="24"/>
        <v>38.880000000000003</v>
      </c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30" customHeight="1">
      <c r="A55" s="376" t="s">
        <v>42</v>
      </c>
      <c r="B55" s="377">
        <v>48</v>
      </c>
      <c r="C55" s="377" t="s">
        <v>40</v>
      </c>
      <c r="D55" s="378">
        <v>46</v>
      </c>
      <c r="E55" s="378">
        <v>33.450000000000003</v>
      </c>
      <c r="F55" s="378">
        <v>31.49</v>
      </c>
      <c r="G55" s="378">
        <v>32.020000000000003</v>
      </c>
      <c r="H55" s="377">
        <v>31.08</v>
      </c>
      <c r="I55" s="379">
        <f t="shared" ref="I55" si="25">+(E55-F55)</f>
        <v>1.96</v>
      </c>
      <c r="J55" s="380">
        <f t="shared" si="17"/>
        <v>0.94</v>
      </c>
      <c r="K55" s="381">
        <f t="shared" si="18"/>
        <v>2.5499999999999998</v>
      </c>
      <c r="L55" s="382">
        <v>6</v>
      </c>
      <c r="M55" s="379">
        <f t="shared" si="19"/>
        <v>703.8</v>
      </c>
      <c r="N55" s="378">
        <f t="shared" si="20"/>
        <v>27.6</v>
      </c>
      <c r="O55" s="378">
        <f t="shared" si="21"/>
        <v>53.68</v>
      </c>
      <c r="P55" s="383">
        <f t="shared" ref="P55:P98" si="26">+M55-(N55+O55)</f>
        <v>622.52</v>
      </c>
      <c r="Q55" s="378">
        <f t="shared" si="22"/>
        <v>438.74</v>
      </c>
      <c r="R55" s="378"/>
      <c r="S55" s="378">
        <f t="shared" si="23"/>
        <v>580.97</v>
      </c>
      <c r="T55" s="378">
        <v>0.5</v>
      </c>
      <c r="U55" s="378">
        <f t="shared" si="24"/>
        <v>138</v>
      </c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30" customHeight="1">
      <c r="A56" s="376" t="s">
        <v>43</v>
      </c>
      <c r="B56" s="377">
        <v>48</v>
      </c>
      <c r="C56" s="377" t="s">
        <v>40</v>
      </c>
      <c r="D56" s="378">
        <v>71.72</v>
      </c>
      <c r="E56" s="378">
        <v>32.020000000000003</v>
      </c>
      <c r="F56" s="378">
        <v>31.06</v>
      </c>
      <c r="G56" s="378">
        <v>32.35</v>
      </c>
      <c r="H56" s="377">
        <v>30.41</v>
      </c>
      <c r="I56" s="379">
        <f>+(E56-F56)</f>
        <v>0.96</v>
      </c>
      <c r="J56" s="380">
        <f t="shared" si="17"/>
        <v>1.94</v>
      </c>
      <c r="K56" s="381">
        <f t="shared" si="18"/>
        <v>2.5499999999999998</v>
      </c>
      <c r="L56" s="382">
        <v>6</v>
      </c>
      <c r="M56" s="379">
        <f t="shared" si="19"/>
        <v>1097.32</v>
      </c>
      <c r="N56" s="378">
        <f t="shared" si="20"/>
        <v>43.03</v>
      </c>
      <c r="O56" s="378">
        <f t="shared" si="21"/>
        <v>83.69</v>
      </c>
      <c r="P56" s="383">
        <f t="shared" si="26"/>
        <v>970.6</v>
      </c>
      <c r="Q56" s="378">
        <f t="shared" si="22"/>
        <v>684.06</v>
      </c>
      <c r="R56" s="378"/>
      <c r="S56" s="378">
        <f t="shared" si="23"/>
        <v>905.8</v>
      </c>
      <c r="T56" s="378">
        <v>0.5</v>
      </c>
      <c r="U56" s="378">
        <f t="shared" si="24"/>
        <v>215.16</v>
      </c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30" customHeight="1">
      <c r="A57" s="376" t="s">
        <v>44</v>
      </c>
      <c r="B57" s="377">
        <v>48</v>
      </c>
      <c r="C57" s="377" t="s">
        <v>40</v>
      </c>
      <c r="D57" s="378">
        <v>7.64</v>
      </c>
      <c r="E57" s="378">
        <v>32.35</v>
      </c>
      <c r="F57" s="378">
        <v>30.33</v>
      </c>
      <c r="G57" s="378">
        <v>32.26</v>
      </c>
      <c r="H57" s="377">
        <v>30.33</v>
      </c>
      <c r="I57" s="379">
        <f t="shared" ref="I57:I98" si="27">+(E57-F57)</f>
        <v>2.02</v>
      </c>
      <c r="J57" s="380">
        <f t="shared" si="17"/>
        <v>1.93</v>
      </c>
      <c r="K57" s="381">
        <f t="shared" si="18"/>
        <v>3.08</v>
      </c>
      <c r="L57" s="382">
        <v>6</v>
      </c>
      <c r="M57" s="379">
        <f t="shared" si="19"/>
        <v>141.19</v>
      </c>
      <c r="N57" s="378">
        <f t="shared" si="20"/>
        <v>4.58</v>
      </c>
      <c r="O57" s="378">
        <f t="shared" si="21"/>
        <v>8.91</v>
      </c>
      <c r="P57" s="383">
        <f t="shared" si="26"/>
        <v>127.7</v>
      </c>
      <c r="Q57" s="378">
        <f t="shared" si="22"/>
        <v>72.88</v>
      </c>
      <c r="R57" s="378"/>
      <c r="S57" s="378">
        <f t="shared" si="23"/>
        <v>96.49</v>
      </c>
      <c r="T57" s="378">
        <v>0.5</v>
      </c>
      <c r="U57" s="378">
        <f t="shared" si="24"/>
        <v>22.92</v>
      </c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25.5" customHeight="1">
      <c r="A58" s="376" t="s">
        <v>45</v>
      </c>
      <c r="B58" s="377">
        <v>48</v>
      </c>
      <c r="C58" s="377" t="s">
        <v>40</v>
      </c>
      <c r="D58" s="378">
        <v>9.15</v>
      </c>
      <c r="E58" s="378">
        <v>32.26</v>
      </c>
      <c r="F58" s="378">
        <v>30.31</v>
      </c>
      <c r="G58" s="378">
        <v>32.159999999999997</v>
      </c>
      <c r="H58" s="377">
        <v>30.23</v>
      </c>
      <c r="I58" s="379">
        <f t="shared" si="27"/>
        <v>1.95</v>
      </c>
      <c r="J58" s="380">
        <f t="shared" si="17"/>
        <v>1.93</v>
      </c>
      <c r="K58" s="381">
        <f t="shared" si="18"/>
        <v>3.04</v>
      </c>
      <c r="L58" s="382">
        <v>6</v>
      </c>
      <c r="M58" s="379">
        <f t="shared" si="19"/>
        <v>166.9</v>
      </c>
      <c r="N58" s="378">
        <f t="shared" si="20"/>
        <v>5.49</v>
      </c>
      <c r="O58" s="378">
        <f t="shared" si="21"/>
        <v>10.68</v>
      </c>
      <c r="P58" s="383">
        <f t="shared" si="26"/>
        <v>150.72999999999999</v>
      </c>
      <c r="Q58" s="378">
        <f t="shared" si="22"/>
        <v>87.27</v>
      </c>
      <c r="R58" s="378"/>
      <c r="S58" s="378">
        <f t="shared" si="23"/>
        <v>115.56</v>
      </c>
      <c r="T58" s="378">
        <v>0.5</v>
      </c>
      <c r="U58" s="378">
        <f t="shared" si="24"/>
        <v>27.45</v>
      </c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30" customHeight="1">
      <c r="A59" s="376" t="s">
        <v>46</v>
      </c>
      <c r="B59" s="377">
        <v>48</v>
      </c>
      <c r="C59" s="377" t="s">
        <v>40</v>
      </c>
      <c r="D59" s="378">
        <v>58.3</v>
      </c>
      <c r="E59" s="378">
        <v>32.159999999999997</v>
      </c>
      <c r="F59" s="378">
        <v>30.21</v>
      </c>
      <c r="G59" s="378">
        <v>31.62</v>
      </c>
      <c r="H59" s="377">
        <v>29.68</v>
      </c>
      <c r="I59" s="379">
        <f t="shared" si="27"/>
        <v>1.95</v>
      </c>
      <c r="J59" s="380">
        <f t="shared" si="17"/>
        <v>1.94</v>
      </c>
      <c r="K59" s="381">
        <f t="shared" si="18"/>
        <v>3.05</v>
      </c>
      <c r="L59" s="382">
        <v>6</v>
      </c>
      <c r="M59" s="379">
        <f t="shared" si="19"/>
        <v>1066.8900000000001</v>
      </c>
      <c r="N59" s="378">
        <f t="shared" si="20"/>
        <v>34.979999999999997</v>
      </c>
      <c r="O59" s="378">
        <f t="shared" si="21"/>
        <v>68.03</v>
      </c>
      <c r="P59" s="383">
        <f t="shared" si="26"/>
        <v>963.88</v>
      </c>
      <c r="Q59" s="378">
        <f t="shared" si="22"/>
        <v>556.05999999999995</v>
      </c>
      <c r="R59" s="378"/>
      <c r="S59" s="378">
        <f t="shared" si="23"/>
        <v>736.31</v>
      </c>
      <c r="T59" s="378">
        <v>0.5</v>
      </c>
      <c r="U59" s="378">
        <f t="shared" si="24"/>
        <v>174.9</v>
      </c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30" customHeight="1">
      <c r="A60" s="376" t="s">
        <v>47</v>
      </c>
      <c r="B60" s="377">
        <v>48</v>
      </c>
      <c r="C60" s="377" t="s">
        <v>40</v>
      </c>
      <c r="D60" s="378">
        <v>35.11</v>
      </c>
      <c r="E60" s="378">
        <v>31.62</v>
      </c>
      <c r="F60" s="378">
        <v>29.66</v>
      </c>
      <c r="G60" s="378">
        <v>31.29</v>
      </c>
      <c r="H60" s="377">
        <v>29.35</v>
      </c>
      <c r="I60" s="379">
        <f t="shared" si="27"/>
        <v>1.96</v>
      </c>
      <c r="J60" s="380">
        <f t="shared" si="17"/>
        <v>1.94</v>
      </c>
      <c r="K60" s="381">
        <f t="shared" si="18"/>
        <v>3.05</v>
      </c>
      <c r="L60" s="382">
        <v>6</v>
      </c>
      <c r="M60" s="379">
        <f t="shared" si="19"/>
        <v>642.51</v>
      </c>
      <c r="N60" s="378">
        <f t="shared" si="20"/>
        <v>21.07</v>
      </c>
      <c r="O60" s="378">
        <f t="shared" si="21"/>
        <v>40.97</v>
      </c>
      <c r="P60" s="383">
        <f t="shared" si="26"/>
        <v>580.47</v>
      </c>
      <c r="Q60" s="378">
        <f t="shared" si="22"/>
        <v>334.88</v>
      </c>
      <c r="R60" s="378"/>
      <c r="S60" s="378">
        <f t="shared" si="23"/>
        <v>443.44</v>
      </c>
      <c r="T60" s="378">
        <v>0.5</v>
      </c>
      <c r="U60" s="378">
        <f t="shared" si="24"/>
        <v>105.33</v>
      </c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30" customHeight="1">
      <c r="A61" s="376" t="s">
        <v>48</v>
      </c>
      <c r="B61" s="377">
        <v>48</v>
      </c>
      <c r="C61" s="377" t="s">
        <v>40</v>
      </c>
      <c r="D61" s="378">
        <v>38</v>
      </c>
      <c r="E61" s="378">
        <v>31.29</v>
      </c>
      <c r="F61" s="378">
        <v>29</v>
      </c>
      <c r="G61" s="378">
        <v>30.81</v>
      </c>
      <c r="H61" s="377">
        <v>28.64</v>
      </c>
      <c r="I61" s="379">
        <f t="shared" si="27"/>
        <v>2.29</v>
      </c>
      <c r="J61" s="380">
        <f t="shared" si="17"/>
        <v>2.17</v>
      </c>
      <c r="K61" s="381">
        <f t="shared" si="18"/>
        <v>3.33</v>
      </c>
      <c r="L61" s="382">
        <v>6</v>
      </c>
      <c r="M61" s="379">
        <f t="shared" si="19"/>
        <v>759.24</v>
      </c>
      <c r="N61" s="378">
        <f t="shared" si="20"/>
        <v>22.8</v>
      </c>
      <c r="O61" s="378">
        <f t="shared" si="21"/>
        <v>44.34</v>
      </c>
      <c r="P61" s="383">
        <f t="shared" si="26"/>
        <v>692.1</v>
      </c>
      <c r="Q61" s="378">
        <f t="shared" si="22"/>
        <v>362.45</v>
      </c>
      <c r="R61" s="378"/>
      <c r="S61" s="378">
        <f t="shared" si="23"/>
        <v>479.94</v>
      </c>
      <c r="T61" s="378">
        <v>0.5</v>
      </c>
      <c r="U61" s="378">
        <f t="shared" si="24"/>
        <v>114</v>
      </c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ht="30" customHeight="1">
      <c r="A62" s="376" t="s">
        <v>49</v>
      </c>
      <c r="B62" s="377">
        <v>60</v>
      </c>
      <c r="C62" s="377" t="s">
        <v>40</v>
      </c>
      <c r="D62" s="378">
        <v>23.46</v>
      </c>
      <c r="E62" s="378">
        <v>30.81</v>
      </c>
      <c r="F62" s="378">
        <v>28.63</v>
      </c>
      <c r="G62" s="378">
        <v>30.59</v>
      </c>
      <c r="H62" s="377">
        <v>28.42</v>
      </c>
      <c r="I62" s="379">
        <f t="shared" si="27"/>
        <v>2.1800000000000002</v>
      </c>
      <c r="J62" s="380">
        <f t="shared" si="17"/>
        <v>2.17</v>
      </c>
      <c r="K62" s="381">
        <f t="shared" si="18"/>
        <v>3.28</v>
      </c>
      <c r="L62" s="382">
        <v>6</v>
      </c>
      <c r="M62" s="379">
        <f t="shared" si="19"/>
        <v>461.69</v>
      </c>
      <c r="N62" s="378">
        <f t="shared" si="20"/>
        <v>14.08</v>
      </c>
      <c r="O62" s="378">
        <f t="shared" si="21"/>
        <v>42.77</v>
      </c>
      <c r="P62" s="383">
        <f t="shared" si="26"/>
        <v>404.84</v>
      </c>
      <c r="Q62" s="378">
        <f t="shared" si="22"/>
        <v>256.77</v>
      </c>
      <c r="R62" s="378"/>
      <c r="S62" s="378">
        <f t="shared" si="23"/>
        <v>352.07</v>
      </c>
      <c r="T62" s="378">
        <v>0.5</v>
      </c>
      <c r="U62" s="378">
        <f t="shared" si="24"/>
        <v>70.38</v>
      </c>
      <c r="V62" s="54"/>
      <c r="W62" s="54"/>
      <c r="X62" s="54"/>
      <c r="Y62" s="54"/>
      <c r="Z62" s="54"/>
      <c r="AA62" s="54"/>
      <c r="AB62" s="54"/>
      <c r="AC62" s="54"/>
      <c r="AD62" s="54"/>
    </row>
    <row r="63" spans="1:30" ht="30" customHeight="1">
      <c r="A63" s="376" t="s">
        <v>50</v>
      </c>
      <c r="B63" s="377">
        <v>60</v>
      </c>
      <c r="C63" s="377" t="s">
        <v>40</v>
      </c>
      <c r="D63" s="378">
        <v>24.4</v>
      </c>
      <c r="E63" s="378">
        <v>30.59</v>
      </c>
      <c r="F63" s="378">
        <v>28.4</v>
      </c>
      <c r="G63" s="378">
        <v>30.39</v>
      </c>
      <c r="H63" s="377">
        <v>28.18</v>
      </c>
      <c r="I63" s="379">
        <f t="shared" si="27"/>
        <v>2.19</v>
      </c>
      <c r="J63" s="380">
        <f t="shared" si="17"/>
        <v>2.21</v>
      </c>
      <c r="K63" s="381">
        <f t="shared" si="18"/>
        <v>3.3</v>
      </c>
      <c r="L63" s="382">
        <v>6</v>
      </c>
      <c r="M63" s="379">
        <f t="shared" si="19"/>
        <v>483.12</v>
      </c>
      <c r="N63" s="378">
        <f t="shared" si="20"/>
        <v>14.64</v>
      </c>
      <c r="O63" s="378">
        <f t="shared" si="21"/>
        <v>44.49</v>
      </c>
      <c r="P63" s="383">
        <f t="shared" si="26"/>
        <v>423.99</v>
      </c>
      <c r="Q63" s="378">
        <f t="shared" si="22"/>
        <v>267.05</v>
      </c>
      <c r="R63" s="378"/>
      <c r="S63" s="378">
        <f t="shared" si="23"/>
        <v>366.17</v>
      </c>
      <c r="T63" s="378">
        <v>0.5</v>
      </c>
      <c r="U63" s="378">
        <f t="shared" si="24"/>
        <v>73.2</v>
      </c>
      <c r="V63" s="54"/>
      <c r="W63" s="54"/>
      <c r="X63" s="54"/>
      <c r="Y63" s="54"/>
      <c r="Z63" s="54"/>
      <c r="AA63" s="54"/>
      <c r="AB63" s="54"/>
      <c r="AC63" s="54"/>
      <c r="AD63" s="54"/>
    </row>
    <row r="64" spans="1:30" ht="30" customHeight="1">
      <c r="A64" s="376" t="s">
        <v>51</v>
      </c>
      <c r="B64" s="377">
        <v>60</v>
      </c>
      <c r="C64" s="377" t="s">
        <v>40</v>
      </c>
      <c r="D64" s="378">
        <v>56.89</v>
      </c>
      <c r="E64" s="378">
        <v>30.39</v>
      </c>
      <c r="F64" s="377">
        <v>28.16</v>
      </c>
      <c r="G64" s="378">
        <v>29.83</v>
      </c>
      <c r="H64" s="377">
        <v>27.65</v>
      </c>
      <c r="I64" s="379">
        <f t="shared" si="27"/>
        <v>2.23</v>
      </c>
      <c r="J64" s="380">
        <f t="shared" si="17"/>
        <v>2.1800000000000002</v>
      </c>
      <c r="K64" s="381">
        <f t="shared" si="18"/>
        <v>3.31</v>
      </c>
      <c r="L64" s="382">
        <v>6</v>
      </c>
      <c r="M64" s="379">
        <f t="shared" si="19"/>
        <v>1129.8399999999999</v>
      </c>
      <c r="N64" s="378">
        <f t="shared" si="20"/>
        <v>34.130000000000003</v>
      </c>
      <c r="O64" s="378">
        <f t="shared" si="21"/>
        <v>103.72</v>
      </c>
      <c r="P64" s="383">
        <f t="shared" si="26"/>
        <v>991.99</v>
      </c>
      <c r="Q64" s="378">
        <f t="shared" si="22"/>
        <v>622.66</v>
      </c>
      <c r="R64" s="378"/>
      <c r="S64" s="378">
        <f t="shared" si="23"/>
        <v>853.75</v>
      </c>
      <c r="T64" s="378">
        <v>0.5</v>
      </c>
      <c r="U64" s="378">
        <f t="shared" si="24"/>
        <v>170.67</v>
      </c>
      <c r="V64" s="54"/>
      <c r="W64" s="54"/>
      <c r="X64" s="54"/>
      <c r="Y64" s="54"/>
      <c r="Z64" s="54"/>
      <c r="AA64" s="54"/>
      <c r="AB64" s="54"/>
      <c r="AC64" s="54"/>
      <c r="AD64" s="54"/>
    </row>
    <row r="65" spans="1:21" ht="30" customHeight="1">
      <c r="A65" s="376" t="s">
        <v>52</v>
      </c>
      <c r="B65" s="377">
        <v>60</v>
      </c>
      <c r="C65" s="377" t="s">
        <v>40</v>
      </c>
      <c r="D65" s="378">
        <v>8.42</v>
      </c>
      <c r="E65" s="378">
        <v>29.83</v>
      </c>
      <c r="F65" s="377">
        <v>27.63</v>
      </c>
      <c r="G65" s="378">
        <v>29.73</v>
      </c>
      <c r="H65" s="377">
        <v>27.56</v>
      </c>
      <c r="I65" s="379">
        <f t="shared" si="27"/>
        <v>2.2000000000000002</v>
      </c>
      <c r="J65" s="380">
        <f t="shared" si="17"/>
        <v>2.17</v>
      </c>
      <c r="K65" s="381">
        <f t="shared" si="18"/>
        <v>3.29</v>
      </c>
      <c r="L65" s="382">
        <v>6</v>
      </c>
      <c r="M65" s="379">
        <f t="shared" si="19"/>
        <v>166.21</v>
      </c>
      <c r="N65" s="378">
        <f t="shared" si="20"/>
        <v>5.05</v>
      </c>
      <c r="O65" s="378">
        <f t="shared" si="21"/>
        <v>15.35</v>
      </c>
      <c r="P65" s="383">
        <f t="shared" si="26"/>
        <v>145.81</v>
      </c>
      <c r="Q65" s="378">
        <f t="shared" si="22"/>
        <v>92.16</v>
      </c>
      <c r="R65" s="378"/>
      <c r="S65" s="378">
        <f t="shared" si="23"/>
        <v>126.36</v>
      </c>
      <c r="T65" s="378">
        <v>0.5</v>
      </c>
      <c r="U65" s="378">
        <f t="shared" si="24"/>
        <v>25.26</v>
      </c>
    </row>
    <row r="66" spans="1:21" ht="30" customHeight="1">
      <c r="A66" s="376" t="s">
        <v>53</v>
      </c>
      <c r="B66" s="377">
        <v>60</v>
      </c>
      <c r="C66" s="377" t="s">
        <v>40</v>
      </c>
      <c r="D66" s="378">
        <v>7.17</v>
      </c>
      <c r="E66" s="378">
        <v>29.73</v>
      </c>
      <c r="F66" s="377">
        <v>27.54</v>
      </c>
      <c r="G66" s="378">
        <v>29.73</v>
      </c>
      <c r="H66" s="377">
        <v>27.48</v>
      </c>
      <c r="I66" s="379">
        <f t="shared" si="27"/>
        <v>2.19</v>
      </c>
      <c r="J66" s="380">
        <f t="shared" si="17"/>
        <v>2.25</v>
      </c>
      <c r="K66" s="381">
        <f t="shared" si="18"/>
        <v>3.32</v>
      </c>
      <c r="L66" s="382">
        <v>6</v>
      </c>
      <c r="M66" s="379">
        <f t="shared" si="19"/>
        <v>142.83000000000001</v>
      </c>
      <c r="N66" s="378">
        <f t="shared" si="20"/>
        <v>4.3</v>
      </c>
      <c r="O66" s="378">
        <f t="shared" si="21"/>
        <v>13.07</v>
      </c>
      <c r="P66" s="383">
        <f t="shared" si="26"/>
        <v>125.46</v>
      </c>
      <c r="Q66" s="378">
        <f t="shared" si="22"/>
        <v>78.48</v>
      </c>
      <c r="R66" s="378"/>
      <c r="S66" s="378">
        <f t="shared" si="23"/>
        <v>107.6</v>
      </c>
      <c r="T66" s="378">
        <v>0.5</v>
      </c>
      <c r="U66" s="378">
        <f t="shared" si="24"/>
        <v>21.51</v>
      </c>
    </row>
    <row r="67" spans="1:21" ht="30" customHeight="1">
      <c r="A67" s="376" t="s">
        <v>54</v>
      </c>
      <c r="B67" s="377">
        <v>60</v>
      </c>
      <c r="C67" s="377" t="s">
        <v>40</v>
      </c>
      <c r="D67" s="378">
        <v>26.69</v>
      </c>
      <c r="E67" s="378">
        <v>29.73</v>
      </c>
      <c r="F67" s="377">
        <v>27.46</v>
      </c>
      <c r="G67" s="378">
        <v>29.4</v>
      </c>
      <c r="H67" s="377">
        <v>27.22</v>
      </c>
      <c r="I67" s="379">
        <f t="shared" si="27"/>
        <v>2.27</v>
      </c>
      <c r="J67" s="380">
        <f t="shared" si="17"/>
        <v>2.1800000000000002</v>
      </c>
      <c r="K67" s="381">
        <f t="shared" si="18"/>
        <v>3.33</v>
      </c>
      <c r="L67" s="382">
        <v>6</v>
      </c>
      <c r="M67" s="379">
        <f t="shared" si="19"/>
        <v>533.27</v>
      </c>
      <c r="N67" s="378">
        <f t="shared" si="20"/>
        <v>16.010000000000002</v>
      </c>
      <c r="O67" s="378">
        <f t="shared" si="21"/>
        <v>48.66</v>
      </c>
      <c r="P67" s="383">
        <f t="shared" si="26"/>
        <v>468.6</v>
      </c>
      <c r="Q67" s="378">
        <f t="shared" si="22"/>
        <v>292.12</v>
      </c>
      <c r="R67" s="378"/>
      <c r="S67" s="378">
        <f t="shared" si="23"/>
        <v>400.53</v>
      </c>
      <c r="T67" s="378">
        <v>0.5</v>
      </c>
      <c r="U67" s="378">
        <f t="shared" si="24"/>
        <v>80.069999999999993</v>
      </c>
    </row>
    <row r="68" spans="1:21" ht="30" customHeight="1">
      <c r="A68" s="376" t="s">
        <v>55</v>
      </c>
      <c r="B68" s="377">
        <v>60</v>
      </c>
      <c r="C68" s="377" t="s">
        <v>40</v>
      </c>
      <c r="D68" s="378">
        <v>9.3000000000000007</v>
      </c>
      <c r="E68" s="378">
        <v>29.4</v>
      </c>
      <c r="F68" s="377">
        <v>27.2</v>
      </c>
      <c r="G68" s="378">
        <v>29.3</v>
      </c>
      <c r="H68" s="377">
        <v>27.12</v>
      </c>
      <c r="I68" s="379">
        <f t="shared" si="27"/>
        <v>2.2000000000000002</v>
      </c>
      <c r="J68" s="380">
        <f t="shared" si="17"/>
        <v>2.1800000000000002</v>
      </c>
      <c r="K68" s="381">
        <f t="shared" si="18"/>
        <v>3.29</v>
      </c>
      <c r="L68" s="382">
        <v>6</v>
      </c>
      <c r="M68" s="379">
        <f t="shared" si="19"/>
        <v>183.58</v>
      </c>
      <c r="N68" s="378">
        <f t="shared" si="20"/>
        <v>5.58</v>
      </c>
      <c r="O68" s="378">
        <f t="shared" si="21"/>
        <v>16.96</v>
      </c>
      <c r="P68" s="383">
        <f t="shared" si="26"/>
        <v>161.04</v>
      </c>
      <c r="Q68" s="378">
        <f t="shared" si="22"/>
        <v>101.78</v>
      </c>
      <c r="R68" s="378"/>
      <c r="S68" s="378">
        <f t="shared" si="23"/>
        <v>139.56</v>
      </c>
      <c r="T68" s="378">
        <v>0.5</v>
      </c>
      <c r="U68" s="378">
        <f t="shared" si="24"/>
        <v>27.9</v>
      </c>
    </row>
    <row r="69" spans="1:21" ht="30" customHeight="1">
      <c r="A69" s="376" t="s">
        <v>56</v>
      </c>
      <c r="B69" s="377">
        <v>60</v>
      </c>
      <c r="C69" s="377" t="s">
        <v>40</v>
      </c>
      <c r="D69" s="378">
        <v>14.12</v>
      </c>
      <c r="E69" s="378">
        <v>29.3</v>
      </c>
      <c r="F69" s="377">
        <v>27.1</v>
      </c>
      <c r="G69" s="378">
        <v>29.15</v>
      </c>
      <c r="H69" s="377">
        <v>26.97</v>
      </c>
      <c r="I69" s="379">
        <f t="shared" si="27"/>
        <v>2.2000000000000002</v>
      </c>
      <c r="J69" s="380">
        <f t="shared" si="17"/>
        <v>2.1800000000000002</v>
      </c>
      <c r="K69" s="381">
        <f t="shared" si="18"/>
        <v>3.29</v>
      </c>
      <c r="L69" s="382">
        <v>6</v>
      </c>
      <c r="M69" s="379">
        <f t="shared" si="19"/>
        <v>278.73</v>
      </c>
      <c r="N69" s="378">
        <f t="shared" si="20"/>
        <v>8.4700000000000006</v>
      </c>
      <c r="O69" s="378">
        <f t="shared" si="21"/>
        <v>25.74</v>
      </c>
      <c r="P69" s="383">
        <f t="shared" si="26"/>
        <v>244.52</v>
      </c>
      <c r="Q69" s="378">
        <f t="shared" si="22"/>
        <v>154.55000000000001</v>
      </c>
      <c r="R69" s="378"/>
      <c r="S69" s="378">
        <f t="shared" si="23"/>
        <v>211.9</v>
      </c>
      <c r="T69" s="378">
        <v>0.5</v>
      </c>
      <c r="U69" s="378">
        <f t="shared" si="24"/>
        <v>42.36</v>
      </c>
    </row>
    <row r="70" spans="1:21" ht="30" customHeight="1">
      <c r="A70" s="376" t="s">
        <v>57</v>
      </c>
      <c r="B70" s="377">
        <v>60</v>
      </c>
      <c r="C70" s="377" t="s">
        <v>40</v>
      </c>
      <c r="D70" s="378">
        <v>26.74</v>
      </c>
      <c r="E70" s="378">
        <v>29.15</v>
      </c>
      <c r="F70" s="377">
        <v>26.95</v>
      </c>
      <c r="G70" s="378">
        <v>28.89</v>
      </c>
      <c r="H70" s="377">
        <v>26.72</v>
      </c>
      <c r="I70" s="379">
        <f t="shared" si="27"/>
        <v>2.2000000000000002</v>
      </c>
      <c r="J70" s="380">
        <f t="shared" si="17"/>
        <v>2.17</v>
      </c>
      <c r="K70" s="381">
        <f t="shared" si="18"/>
        <v>3.29</v>
      </c>
      <c r="L70" s="382">
        <v>6</v>
      </c>
      <c r="M70" s="379">
        <f t="shared" si="19"/>
        <v>527.85</v>
      </c>
      <c r="N70" s="378">
        <f t="shared" si="20"/>
        <v>16.04</v>
      </c>
      <c r="O70" s="378">
        <f t="shared" si="21"/>
        <v>48.75</v>
      </c>
      <c r="P70" s="383">
        <f t="shared" si="26"/>
        <v>463.06</v>
      </c>
      <c r="Q70" s="378">
        <f t="shared" si="22"/>
        <v>292.67</v>
      </c>
      <c r="R70" s="378"/>
      <c r="S70" s="378">
        <f t="shared" si="23"/>
        <v>401.29</v>
      </c>
      <c r="T70" s="378">
        <v>0.5</v>
      </c>
      <c r="U70" s="378">
        <f t="shared" si="24"/>
        <v>80.22</v>
      </c>
    </row>
    <row r="71" spans="1:21" ht="30" customHeight="1">
      <c r="A71" s="376" t="s">
        <v>58</v>
      </c>
      <c r="B71" s="377">
        <v>60</v>
      </c>
      <c r="C71" s="377" t="s">
        <v>40</v>
      </c>
      <c r="D71" s="378">
        <v>27.8</v>
      </c>
      <c r="E71" s="378">
        <v>28.89</v>
      </c>
      <c r="F71" s="377">
        <v>26.7</v>
      </c>
      <c r="G71" s="378">
        <v>28.63</v>
      </c>
      <c r="H71" s="377">
        <v>26.45</v>
      </c>
      <c r="I71" s="379">
        <f t="shared" si="27"/>
        <v>2.19</v>
      </c>
      <c r="J71" s="380">
        <f t="shared" si="17"/>
        <v>2.1800000000000002</v>
      </c>
      <c r="K71" s="381">
        <f t="shared" si="18"/>
        <v>3.29</v>
      </c>
      <c r="L71" s="382">
        <v>6</v>
      </c>
      <c r="M71" s="379">
        <f t="shared" si="19"/>
        <v>548.77</v>
      </c>
      <c r="N71" s="378">
        <f t="shared" si="20"/>
        <v>16.68</v>
      </c>
      <c r="O71" s="378">
        <f t="shared" si="21"/>
        <v>50.69</v>
      </c>
      <c r="P71" s="383">
        <f t="shared" si="26"/>
        <v>481.4</v>
      </c>
      <c r="Q71" s="378">
        <f t="shared" si="22"/>
        <v>304.26</v>
      </c>
      <c r="R71" s="378"/>
      <c r="S71" s="378">
        <f t="shared" si="23"/>
        <v>417.2</v>
      </c>
      <c r="T71" s="378">
        <v>0.5</v>
      </c>
      <c r="U71" s="378">
        <f t="shared" si="24"/>
        <v>83.4</v>
      </c>
    </row>
    <row r="72" spans="1:21" ht="30" customHeight="1">
      <c r="A72" s="376" t="s">
        <v>59</v>
      </c>
      <c r="B72" s="377">
        <v>60</v>
      </c>
      <c r="C72" s="377" t="s">
        <v>40</v>
      </c>
      <c r="D72" s="378">
        <v>15.81</v>
      </c>
      <c r="E72" s="378">
        <v>28.63</v>
      </c>
      <c r="F72" s="377">
        <v>26.43</v>
      </c>
      <c r="G72" s="378">
        <v>28.47</v>
      </c>
      <c r="H72" s="377">
        <v>26.29</v>
      </c>
      <c r="I72" s="379">
        <f t="shared" si="27"/>
        <v>2.2000000000000002</v>
      </c>
      <c r="J72" s="380">
        <f t="shared" si="17"/>
        <v>2.1800000000000002</v>
      </c>
      <c r="K72" s="381">
        <f t="shared" si="18"/>
        <v>3.29</v>
      </c>
      <c r="L72" s="382">
        <v>6</v>
      </c>
      <c r="M72" s="379">
        <f t="shared" si="19"/>
        <v>312.08999999999997</v>
      </c>
      <c r="N72" s="378">
        <f t="shared" si="20"/>
        <v>9.49</v>
      </c>
      <c r="O72" s="378">
        <f t="shared" si="21"/>
        <v>28.83</v>
      </c>
      <c r="P72" s="383">
        <f t="shared" si="26"/>
        <v>273.77</v>
      </c>
      <c r="Q72" s="378">
        <f t="shared" si="22"/>
        <v>173.03</v>
      </c>
      <c r="R72" s="378"/>
      <c r="S72" s="378">
        <f t="shared" si="23"/>
        <v>237.27</v>
      </c>
      <c r="T72" s="378">
        <v>0.5</v>
      </c>
      <c r="U72" s="378">
        <f t="shared" si="24"/>
        <v>47.43</v>
      </c>
    </row>
    <row r="73" spans="1:21" ht="30" customHeight="1">
      <c r="A73" s="376" t="s">
        <v>60</v>
      </c>
      <c r="B73" s="377">
        <v>60</v>
      </c>
      <c r="C73" s="377" t="s">
        <v>40</v>
      </c>
      <c r="D73" s="378">
        <v>16.75</v>
      </c>
      <c r="E73" s="378">
        <v>28.47</v>
      </c>
      <c r="F73" s="377">
        <v>26.27</v>
      </c>
      <c r="G73" s="378">
        <v>28.3</v>
      </c>
      <c r="H73" s="377">
        <v>26.12</v>
      </c>
      <c r="I73" s="379">
        <f t="shared" si="27"/>
        <v>2.2000000000000002</v>
      </c>
      <c r="J73" s="380">
        <f t="shared" si="17"/>
        <v>2.1800000000000002</v>
      </c>
      <c r="K73" s="381">
        <f t="shared" si="18"/>
        <v>3.29</v>
      </c>
      <c r="L73" s="382">
        <v>6</v>
      </c>
      <c r="M73" s="379">
        <f t="shared" si="19"/>
        <v>330.65</v>
      </c>
      <c r="N73" s="378">
        <f t="shared" si="20"/>
        <v>10.050000000000001</v>
      </c>
      <c r="O73" s="378">
        <f t="shared" si="21"/>
        <v>30.54</v>
      </c>
      <c r="P73" s="383">
        <f t="shared" si="26"/>
        <v>290.06</v>
      </c>
      <c r="Q73" s="378">
        <f t="shared" si="22"/>
        <v>183.33</v>
      </c>
      <c r="R73" s="378"/>
      <c r="S73" s="378">
        <f t="shared" si="23"/>
        <v>251.37</v>
      </c>
      <c r="T73" s="378">
        <v>0.5</v>
      </c>
      <c r="U73" s="378">
        <f t="shared" si="24"/>
        <v>50.25</v>
      </c>
    </row>
    <row r="74" spans="1:21" ht="30" customHeight="1">
      <c r="A74" s="376" t="s">
        <v>61</v>
      </c>
      <c r="B74" s="377">
        <v>60</v>
      </c>
      <c r="C74" s="377" t="s">
        <v>40</v>
      </c>
      <c r="D74" s="378">
        <v>22.1</v>
      </c>
      <c r="E74" s="378">
        <v>28.3</v>
      </c>
      <c r="F74" s="377">
        <v>26.12</v>
      </c>
      <c r="G74" s="378">
        <v>28.08</v>
      </c>
      <c r="H74" s="377">
        <v>25.9</v>
      </c>
      <c r="I74" s="379">
        <f t="shared" si="27"/>
        <v>2.1800000000000002</v>
      </c>
      <c r="J74" s="380">
        <f t="shared" si="17"/>
        <v>2.1800000000000002</v>
      </c>
      <c r="K74" s="381">
        <f t="shared" si="18"/>
        <v>3.28</v>
      </c>
      <c r="L74" s="382">
        <v>6</v>
      </c>
      <c r="M74" s="379">
        <f t="shared" si="19"/>
        <v>434.93</v>
      </c>
      <c r="N74" s="378">
        <f t="shared" si="20"/>
        <v>13.26</v>
      </c>
      <c r="O74" s="378">
        <f t="shared" si="21"/>
        <v>40.29</v>
      </c>
      <c r="P74" s="383">
        <f t="shared" si="26"/>
        <v>381.38</v>
      </c>
      <c r="Q74" s="378">
        <f t="shared" si="22"/>
        <v>241.89</v>
      </c>
      <c r="R74" s="378"/>
      <c r="S74" s="378">
        <f t="shared" si="23"/>
        <v>331.66</v>
      </c>
      <c r="T74" s="378">
        <v>0.5</v>
      </c>
      <c r="U74" s="378">
        <f t="shared" si="24"/>
        <v>66.3</v>
      </c>
    </row>
    <row r="75" spans="1:21" ht="30" customHeight="1">
      <c r="A75" s="376" t="s">
        <v>62</v>
      </c>
      <c r="B75" s="377">
        <v>60</v>
      </c>
      <c r="C75" s="377" t="s">
        <v>40</v>
      </c>
      <c r="D75" s="378">
        <v>23.93</v>
      </c>
      <c r="E75" s="378">
        <v>28.08</v>
      </c>
      <c r="F75" s="377">
        <v>25.88</v>
      </c>
      <c r="G75" s="378">
        <v>27.84</v>
      </c>
      <c r="H75" s="377">
        <v>25.67</v>
      </c>
      <c r="I75" s="379">
        <f t="shared" si="27"/>
        <v>2.2000000000000002</v>
      </c>
      <c r="J75" s="380">
        <f t="shared" si="17"/>
        <v>2.17</v>
      </c>
      <c r="K75" s="381">
        <f t="shared" si="18"/>
        <v>3.29</v>
      </c>
      <c r="L75" s="382">
        <v>6</v>
      </c>
      <c r="M75" s="379">
        <f t="shared" si="19"/>
        <v>472.38</v>
      </c>
      <c r="N75" s="378">
        <f t="shared" si="20"/>
        <v>14.36</v>
      </c>
      <c r="O75" s="378">
        <f t="shared" si="21"/>
        <v>43.63</v>
      </c>
      <c r="P75" s="383">
        <f t="shared" si="26"/>
        <v>414.39</v>
      </c>
      <c r="Q75" s="378">
        <f t="shared" si="22"/>
        <v>261.91000000000003</v>
      </c>
      <c r="R75" s="378"/>
      <c r="S75" s="378">
        <f t="shared" si="23"/>
        <v>359.12</v>
      </c>
      <c r="T75" s="378">
        <v>0.5</v>
      </c>
      <c r="U75" s="378">
        <f t="shared" si="24"/>
        <v>71.790000000000006</v>
      </c>
    </row>
    <row r="76" spans="1:21" ht="30" customHeight="1">
      <c r="A76" s="376" t="s">
        <v>63</v>
      </c>
      <c r="B76" s="377">
        <v>60</v>
      </c>
      <c r="C76" s="377" t="s">
        <v>40</v>
      </c>
      <c r="D76" s="378">
        <v>18.7</v>
      </c>
      <c r="E76" s="378">
        <v>27.84</v>
      </c>
      <c r="F76" s="377">
        <v>25.65</v>
      </c>
      <c r="G76" s="378">
        <v>27.84</v>
      </c>
      <c r="H76" s="377">
        <v>25.48</v>
      </c>
      <c r="I76" s="379">
        <f t="shared" si="27"/>
        <v>2.19</v>
      </c>
      <c r="J76" s="380">
        <f t="shared" si="17"/>
        <v>2.36</v>
      </c>
      <c r="K76" s="381">
        <f t="shared" si="18"/>
        <v>3.38</v>
      </c>
      <c r="L76" s="382">
        <v>6</v>
      </c>
      <c r="M76" s="379">
        <f t="shared" si="19"/>
        <v>379.24</v>
      </c>
      <c r="N76" s="378">
        <f t="shared" si="20"/>
        <v>11.22</v>
      </c>
      <c r="O76" s="378">
        <f t="shared" si="21"/>
        <v>34.090000000000003</v>
      </c>
      <c r="P76" s="383">
        <f t="shared" si="26"/>
        <v>333.93</v>
      </c>
      <c r="Q76" s="378">
        <f t="shared" si="22"/>
        <v>204.68</v>
      </c>
      <c r="R76" s="378"/>
      <c r="S76" s="378">
        <f t="shared" si="23"/>
        <v>280.64</v>
      </c>
      <c r="T76" s="378">
        <v>0.5</v>
      </c>
      <c r="U76" s="378">
        <f t="shared" si="24"/>
        <v>56.1</v>
      </c>
    </row>
    <row r="77" spans="1:21" ht="30" customHeight="1">
      <c r="A77" s="376" t="s">
        <v>64</v>
      </c>
      <c r="B77" s="377">
        <v>60</v>
      </c>
      <c r="C77" s="377" t="s">
        <v>40</v>
      </c>
      <c r="D77" s="378">
        <v>37.619999999999997</v>
      </c>
      <c r="E77" s="378">
        <v>27.84</v>
      </c>
      <c r="F77" s="377">
        <v>25.46</v>
      </c>
      <c r="G77" s="378">
        <v>27.3</v>
      </c>
      <c r="H77" s="377">
        <v>25.13</v>
      </c>
      <c r="I77" s="379">
        <f t="shared" si="27"/>
        <v>2.38</v>
      </c>
      <c r="J77" s="380">
        <f t="shared" si="17"/>
        <v>2.17</v>
      </c>
      <c r="K77" s="381">
        <f t="shared" si="18"/>
        <v>3.38</v>
      </c>
      <c r="L77" s="382">
        <v>6</v>
      </c>
      <c r="M77" s="379">
        <f t="shared" si="19"/>
        <v>762.93</v>
      </c>
      <c r="N77" s="378">
        <f t="shared" si="20"/>
        <v>22.57</v>
      </c>
      <c r="O77" s="378">
        <f t="shared" si="21"/>
        <v>68.59</v>
      </c>
      <c r="P77" s="383">
        <f t="shared" si="26"/>
        <v>671.77</v>
      </c>
      <c r="Q77" s="378">
        <f t="shared" si="22"/>
        <v>411.75</v>
      </c>
      <c r="R77" s="378"/>
      <c r="S77" s="378">
        <f t="shared" si="23"/>
        <v>564.57000000000005</v>
      </c>
      <c r="T77" s="378">
        <v>0.5</v>
      </c>
      <c r="U77" s="378">
        <f t="shared" si="24"/>
        <v>112.86</v>
      </c>
    </row>
    <row r="78" spans="1:21" ht="30" customHeight="1">
      <c r="A78" s="376" t="s">
        <v>65</v>
      </c>
      <c r="B78" s="377">
        <v>60</v>
      </c>
      <c r="C78" s="377" t="s">
        <v>40</v>
      </c>
      <c r="D78" s="378">
        <v>6.36</v>
      </c>
      <c r="E78" s="378">
        <v>27.3</v>
      </c>
      <c r="F78" s="377">
        <v>25.11</v>
      </c>
      <c r="G78" s="378">
        <v>27.68</v>
      </c>
      <c r="H78" s="377">
        <v>25.05</v>
      </c>
      <c r="I78" s="379">
        <f t="shared" si="27"/>
        <v>2.19</v>
      </c>
      <c r="J78" s="380">
        <f t="shared" si="17"/>
        <v>2.63</v>
      </c>
      <c r="K78" s="381">
        <f t="shared" si="18"/>
        <v>3.51</v>
      </c>
      <c r="L78" s="382">
        <v>6</v>
      </c>
      <c r="M78" s="379">
        <f t="shared" si="19"/>
        <v>133.94</v>
      </c>
      <c r="N78" s="378">
        <f t="shared" si="20"/>
        <v>3.82</v>
      </c>
      <c r="O78" s="378">
        <f t="shared" si="21"/>
        <v>11.6</v>
      </c>
      <c r="P78" s="383">
        <f t="shared" si="26"/>
        <v>118.52</v>
      </c>
      <c r="Q78" s="378">
        <f t="shared" si="22"/>
        <v>69.599999999999994</v>
      </c>
      <c r="R78" s="378"/>
      <c r="S78" s="378">
        <f t="shared" si="23"/>
        <v>95.45</v>
      </c>
      <c r="T78" s="378">
        <v>0.5</v>
      </c>
      <c r="U78" s="378">
        <f t="shared" si="24"/>
        <v>19.079999999999998</v>
      </c>
    </row>
    <row r="79" spans="1:21" ht="30" customHeight="1">
      <c r="A79" s="376" t="s">
        <v>66</v>
      </c>
      <c r="B79" s="377">
        <v>80</v>
      </c>
      <c r="C79" s="377" t="s">
        <v>40</v>
      </c>
      <c r="D79" s="378">
        <v>18</v>
      </c>
      <c r="E79" s="378">
        <v>27.68</v>
      </c>
      <c r="F79" s="377">
        <v>25</v>
      </c>
      <c r="G79" s="378">
        <v>27.62</v>
      </c>
      <c r="H79" s="377">
        <v>24.95</v>
      </c>
      <c r="I79" s="379">
        <f t="shared" si="27"/>
        <v>2.68</v>
      </c>
      <c r="J79" s="380">
        <f t="shared" si="17"/>
        <v>2.67</v>
      </c>
      <c r="K79" s="381">
        <f t="shared" si="18"/>
        <v>3.78</v>
      </c>
      <c r="L79" s="382">
        <v>6</v>
      </c>
      <c r="M79" s="379">
        <f t="shared" si="19"/>
        <v>408.24</v>
      </c>
      <c r="N79" s="378">
        <f t="shared" si="20"/>
        <v>10.8</v>
      </c>
      <c r="O79" s="378">
        <f t="shared" si="21"/>
        <v>58.34</v>
      </c>
      <c r="P79" s="383">
        <f t="shared" si="26"/>
        <v>339.1</v>
      </c>
      <c r="Q79" s="378">
        <f t="shared" si="22"/>
        <v>232.22</v>
      </c>
      <c r="R79" s="378"/>
      <c r="S79" s="378">
        <f t="shared" si="23"/>
        <v>341.45</v>
      </c>
      <c r="T79" s="378">
        <v>0.5</v>
      </c>
      <c r="U79" s="378">
        <f t="shared" si="24"/>
        <v>54</v>
      </c>
    </row>
    <row r="80" spans="1:21" ht="30" customHeight="1">
      <c r="A80" s="376" t="s">
        <v>67</v>
      </c>
      <c r="B80" s="377">
        <v>80</v>
      </c>
      <c r="C80" s="377" t="s">
        <v>40</v>
      </c>
      <c r="D80" s="378">
        <v>65.34</v>
      </c>
      <c r="E80" s="378">
        <v>27.62</v>
      </c>
      <c r="F80" s="377">
        <v>24.94</v>
      </c>
      <c r="G80" s="378">
        <v>27.43</v>
      </c>
      <c r="H80" s="377">
        <v>24.75</v>
      </c>
      <c r="I80" s="379">
        <f t="shared" si="27"/>
        <v>2.68</v>
      </c>
      <c r="J80" s="380">
        <f t="shared" si="17"/>
        <v>2.68</v>
      </c>
      <c r="K80" s="381">
        <f t="shared" si="18"/>
        <v>3.78</v>
      </c>
      <c r="L80" s="382">
        <v>6</v>
      </c>
      <c r="M80" s="379">
        <f t="shared" si="19"/>
        <v>1481.91</v>
      </c>
      <c r="N80" s="378">
        <f t="shared" si="20"/>
        <v>39.200000000000003</v>
      </c>
      <c r="O80" s="378">
        <f t="shared" si="21"/>
        <v>211.79</v>
      </c>
      <c r="P80" s="383">
        <f t="shared" si="26"/>
        <v>1230.92</v>
      </c>
      <c r="Q80" s="378">
        <f t="shared" si="22"/>
        <v>842.94</v>
      </c>
      <c r="R80" s="378"/>
      <c r="S80" s="378">
        <f t="shared" si="23"/>
        <v>1239.47</v>
      </c>
      <c r="T80" s="378">
        <v>0.5</v>
      </c>
      <c r="U80" s="378">
        <f t="shared" si="24"/>
        <v>196.02</v>
      </c>
    </row>
    <row r="81" spans="1:21" ht="30" customHeight="1">
      <c r="A81" s="376" t="s">
        <v>68</v>
      </c>
      <c r="B81" s="377">
        <v>80</v>
      </c>
      <c r="C81" s="377" t="s">
        <v>40</v>
      </c>
      <c r="D81" s="378">
        <v>42.63</v>
      </c>
      <c r="E81" s="378">
        <v>27.43</v>
      </c>
      <c r="F81" s="377">
        <v>24.71</v>
      </c>
      <c r="G81" s="378">
        <v>27.3</v>
      </c>
      <c r="H81" s="377">
        <v>24.61</v>
      </c>
      <c r="I81" s="379">
        <f t="shared" si="27"/>
        <v>2.72</v>
      </c>
      <c r="J81" s="380">
        <f t="shared" si="17"/>
        <v>2.69</v>
      </c>
      <c r="K81" s="381">
        <f t="shared" si="18"/>
        <v>3.81</v>
      </c>
      <c r="L81" s="382">
        <v>6</v>
      </c>
      <c r="M81" s="379">
        <f t="shared" si="19"/>
        <v>974.52</v>
      </c>
      <c r="N81" s="378">
        <f t="shared" si="20"/>
        <v>25.58</v>
      </c>
      <c r="O81" s="378">
        <f t="shared" si="21"/>
        <v>138.18</v>
      </c>
      <c r="P81" s="383">
        <f t="shared" si="26"/>
        <v>810.76</v>
      </c>
      <c r="Q81" s="378">
        <f t="shared" si="22"/>
        <v>549.96</v>
      </c>
      <c r="R81" s="378"/>
      <c r="S81" s="378">
        <f t="shared" si="23"/>
        <v>808.68</v>
      </c>
      <c r="T81" s="378">
        <v>0.5</v>
      </c>
      <c r="U81" s="378">
        <f t="shared" si="24"/>
        <v>127.89</v>
      </c>
    </row>
    <row r="82" spans="1:21" ht="30" customHeight="1">
      <c r="A82" s="376" t="s">
        <v>69</v>
      </c>
      <c r="B82" s="377">
        <v>80</v>
      </c>
      <c r="C82" s="377" t="s">
        <v>40</v>
      </c>
      <c r="D82" s="378">
        <v>70.260000000000005</v>
      </c>
      <c r="E82" s="378">
        <v>27.3</v>
      </c>
      <c r="F82" s="377">
        <v>24.6</v>
      </c>
      <c r="G82" s="378">
        <v>27.08</v>
      </c>
      <c r="H82" s="377">
        <v>24.4</v>
      </c>
      <c r="I82" s="379">
        <f t="shared" si="27"/>
        <v>2.7</v>
      </c>
      <c r="J82" s="380">
        <f t="shared" si="17"/>
        <v>2.68</v>
      </c>
      <c r="K82" s="381">
        <f t="shared" si="18"/>
        <v>3.79</v>
      </c>
      <c r="L82" s="382">
        <v>6</v>
      </c>
      <c r="M82" s="379">
        <f t="shared" si="19"/>
        <v>1597.71</v>
      </c>
      <c r="N82" s="378">
        <f t="shared" si="20"/>
        <v>42.16</v>
      </c>
      <c r="O82" s="378">
        <f t="shared" si="21"/>
        <v>227.73</v>
      </c>
      <c r="P82" s="383">
        <f t="shared" si="26"/>
        <v>1327.82</v>
      </c>
      <c r="Q82" s="378">
        <f t="shared" si="22"/>
        <v>906.42</v>
      </c>
      <c r="R82" s="378"/>
      <c r="S82" s="378">
        <f t="shared" si="23"/>
        <v>1332.81</v>
      </c>
      <c r="T82" s="378">
        <v>0.5</v>
      </c>
      <c r="U82" s="378">
        <f t="shared" si="24"/>
        <v>210.78</v>
      </c>
    </row>
    <row r="83" spans="1:21" ht="30" customHeight="1">
      <c r="A83" s="376" t="s">
        <v>70</v>
      </c>
      <c r="B83" s="377">
        <v>80</v>
      </c>
      <c r="C83" s="377" t="s">
        <v>40</v>
      </c>
      <c r="D83" s="378">
        <v>19.53</v>
      </c>
      <c r="E83" s="378">
        <v>27.08</v>
      </c>
      <c r="F83" s="377">
        <v>24.39</v>
      </c>
      <c r="G83" s="378">
        <v>27.08</v>
      </c>
      <c r="H83" s="377">
        <v>24.33</v>
      </c>
      <c r="I83" s="379">
        <f t="shared" si="27"/>
        <v>2.69</v>
      </c>
      <c r="J83" s="380">
        <f t="shared" si="17"/>
        <v>2.75</v>
      </c>
      <c r="K83" s="381">
        <f t="shared" si="18"/>
        <v>3.82</v>
      </c>
      <c r="L83" s="382">
        <v>6</v>
      </c>
      <c r="M83" s="379">
        <f t="shared" si="19"/>
        <v>447.63</v>
      </c>
      <c r="N83" s="378">
        <f t="shared" si="20"/>
        <v>11.72</v>
      </c>
      <c r="O83" s="378">
        <f t="shared" si="21"/>
        <v>63.3</v>
      </c>
      <c r="P83" s="383">
        <f t="shared" si="26"/>
        <v>372.61</v>
      </c>
      <c r="Q83" s="378">
        <f t="shared" si="22"/>
        <v>251.96</v>
      </c>
      <c r="R83" s="378"/>
      <c r="S83" s="378">
        <f t="shared" si="23"/>
        <v>370.48</v>
      </c>
      <c r="T83" s="378">
        <v>0.5</v>
      </c>
      <c r="U83" s="378">
        <f t="shared" si="24"/>
        <v>58.59</v>
      </c>
    </row>
    <row r="84" spans="1:21" ht="30" customHeight="1">
      <c r="A84" s="376" t="s">
        <v>71</v>
      </c>
      <c r="B84" s="377">
        <v>80</v>
      </c>
      <c r="C84" s="377" t="s">
        <v>40</v>
      </c>
      <c r="D84" s="378">
        <v>7.24</v>
      </c>
      <c r="E84" s="378">
        <v>27.08</v>
      </c>
      <c r="F84" s="377">
        <v>24.32</v>
      </c>
      <c r="G84" s="378">
        <v>26.98</v>
      </c>
      <c r="H84" s="377">
        <v>24.3</v>
      </c>
      <c r="I84" s="379">
        <f t="shared" si="27"/>
        <v>2.76</v>
      </c>
      <c r="J84" s="380">
        <f t="shared" si="17"/>
        <v>2.68</v>
      </c>
      <c r="K84" s="381">
        <f t="shared" si="18"/>
        <v>3.82</v>
      </c>
      <c r="L84" s="382">
        <v>6</v>
      </c>
      <c r="M84" s="379">
        <f t="shared" si="19"/>
        <v>165.94</v>
      </c>
      <c r="N84" s="378">
        <f t="shared" si="20"/>
        <v>4.34</v>
      </c>
      <c r="O84" s="378">
        <f t="shared" si="21"/>
        <v>23.47</v>
      </c>
      <c r="P84" s="383">
        <f t="shared" si="26"/>
        <v>138.13</v>
      </c>
      <c r="Q84" s="378">
        <f t="shared" si="22"/>
        <v>93.4</v>
      </c>
      <c r="R84" s="378"/>
      <c r="S84" s="378">
        <f t="shared" si="23"/>
        <v>137.34</v>
      </c>
      <c r="T84" s="378">
        <v>0.5</v>
      </c>
      <c r="U84" s="378">
        <f t="shared" si="24"/>
        <v>21.72</v>
      </c>
    </row>
    <row r="85" spans="1:21" ht="30" customHeight="1">
      <c r="A85" s="376" t="s">
        <v>72</v>
      </c>
      <c r="B85" s="377">
        <v>80</v>
      </c>
      <c r="C85" s="377" t="s">
        <v>40</v>
      </c>
      <c r="D85" s="378">
        <v>6.72</v>
      </c>
      <c r="E85" s="378">
        <v>26.98</v>
      </c>
      <c r="F85" s="377">
        <v>24.26</v>
      </c>
      <c r="G85" s="378">
        <v>26.95</v>
      </c>
      <c r="H85" s="377">
        <v>24.27</v>
      </c>
      <c r="I85" s="379">
        <f t="shared" si="27"/>
        <v>2.72</v>
      </c>
      <c r="J85" s="380">
        <f t="shared" si="17"/>
        <v>2.68</v>
      </c>
      <c r="K85" s="381">
        <f t="shared" si="18"/>
        <v>3.8</v>
      </c>
      <c r="L85" s="382">
        <v>6</v>
      </c>
      <c r="M85" s="379">
        <f t="shared" si="19"/>
        <v>153.22</v>
      </c>
      <c r="N85" s="378">
        <f t="shared" si="20"/>
        <v>4.03</v>
      </c>
      <c r="O85" s="378">
        <f t="shared" si="21"/>
        <v>21.78</v>
      </c>
      <c r="P85" s="383">
        <f t="shared" si="26"/>
        <v>127.41</v>
      </c>
      <c r="Q85" s="378">
        <f t="shared" si="22"/>
        <v>86.7</v>
      </c>
      <c r="R85" s="378"/>
      <c r="S85" s="378">
        <f t="shared" si="23"/>
        <v>127.48</v>
      </c>
      <c r="T85" s="378">
        <v>0.5</v>
      </c>
      <c r="U85" s="378">
        <f t="shared" si="24"/>
        <v>20.16</v>
      </c>
    </row>
    <row r="86" spans="1:21" ht="30" customHeight="1">
      <c r="A86" s="376" t="s">
        <v>73</v>
      </c>
      <c r="B86" s="377">
        <v>80</v>
      </c>
      <c r="C86" s="377" t="s">
        <v>40</v>
      </c>
      <c r="D86" s="378">
        <v>7.34</v>
      </c>
      <c r="E86" s="378">
        <v>26.95</v>
      </c>
      <c r="F86" s="377">
        <v>24.24</v>
      </c>
      <c r="G86" s="378">
        <v>26.92</v>
      </c>
      <c r="H86" s="377">
        <v>24.24</v>
      </c>
      <c r="I86" s="379">
        <f t="shared" si="27"/>
        <v>2.71</v>
      </c>
      <c r="J86" s="380">
        <f t="shared" si="17"/>
        <v>2.68</v>
      </c>
      <c r="K86" s="381">
        <f t="shared" si="18"/>
        <v>3.8</v>
      </c>
      <c r="L86" s="382">
        <v>6</v>
      </c>
      <c r="M86" s="379">
        <f t="shared" si="19"/>
        <v>167.35</v>
      </c>
      <c r="N86" s="378">
        <f t="shared" si="20"/>
        <v>4.4000000000000004</v>
      </c>
      <c r="O86" s="378">
        <f t="shared" si="21"/>
        <v>23.79</v>
      </c>
      <c r="P86" s="383">
        <f t="shared" si="26"/>
        <v>139.16</v>
      </c>
      <c r="Q86" s="378">
        <f t="shared" si="22"/>
        <v>94.69</v>
      </c>
      <c r="R86" s="378"/>
      <c r="S86" s="378">
        <f t="shared" si="23"/>
        <v>139.22999999999999</v>
      </c>
      <c r="T86" s="378">
        <v>0.5</v>
      </c>
      <c r="U86" s="378">
        <f t="shared" si="24"/>
        <v>22.02</v>
      </c>
    </row>
    <row r="87" spans="1:21" ht="30" customHeight="1">
      <c r="A87" s="376" t="s">
        <v>74</v>
      </c>
      <c r="B87" s="377">
        <v>80</v>
      </c>
      <c r="C87" s="377" t="s">
        <v>40</v>
      </c>
      <c r="D87" s="378">
        <v>93.37</v>
      </c>
      <c r="E87" s="378">
        <v>26.92</v>
      </c>
      <c r="F87" s="377">
        <v>24.23</v>
      </c>
      <c r="G87" s="378">
        <v>26.64</v>
      </c>
      <c r="H87" s="377">
        <v>23.96</v>
      </c>
      <c r="I87" s="379">
        <f t="shared" si="27"/>
        <v>2.69</v>
      </c>
      <c r="J87" s="380">
        <f t="shared" si="17"/>
        <v>2.68</v>
      </c>
      <c r="K87" s="381">
        <f t="shared" si="18"/>
        <v>3.79</v>
      </c>
      <c r="L87" s="382">
        <v>6</v>
      </c>
      <c r="M87" s="379">
        <f t="shared" si="19"/>
        <v>2123.23</v>
      </c>
      <c r="N87" s="378">
        <f t="shared" si="20"/>
        <v>56.02</v>
      </c>
      <c r="O87" s="378">
        <f t="shared" si="21"/>
        <v>302.64</v>
      </c>
      <c r="P87" s="383">
        <f t="shared" si="26"/>
        <v>1764.57</v>
      </c>
      <c r="Q87" s="378">
        <f t="shared" si="22"/>
        <v>1204.55</v>
      </c>
      <c r="R87" s="378"/>
      <c r="S87" s="378">
        <f t="shared" si="23"/>
        <v>1771.19</v>
      </c>
      <c r="T87" s="378">
        <v>0.5</v>
      </c>
      <c r="U87" s="378">
        <f t="shared" si="24"/>
        <v>280.11</v>
      </c>
    </row>
    <row r="88" spans="1:21" ht="30" customHeight="1">
      <c r="A88" s="376" t="s">
        <v>75</v>
      </c>
      <c r="B88" s="377">
        <v>80</v>
      </c>
      <c r="C88" s="377" t="s">
        <v>40</v>
      </c>
      <c r="D88" s="378">
        <v>67.73</v>
      </c>
      <c r="E88" s="378">
        <v>26.64</v>
      </c>
      <c r="F88" s="377">
        <v>22.96</v>
      </c>
      <c r="G88" s="378">
        <v>25.43</v>
      </c>
      <c r="H88" s="377">
        <v>22.75</v>
      </c>
      <c r="I88" s="379">
        <f t="shared" si="27"/>
        <v>3.68</v>
      </c>
      <c r="J88" s="380">
        <f t="shared" si="17"/>
        <v>2.68</v>
      </c>
      <c r="K88" s="381">
        <f t="shared" si="18"/>
        <v>4.28</v>
      </c>
      <c r="L88" s="382">
        <v>6</v>
      </c>
      <c r="M88" s="379">
        <f t="shared" si="19"/>
        <v>1739.31</v>
      </c>
      <c r="N88" s="378">
        <f t="shared" si="20"/>
        <v>40.64</v>
      </c>
      <c r="O88" s="378">
        <f t="shared" si="21"/>
        <v>219.53</v>
      </c>
      <c r="P88" s="383">
        <f t="shared" si="26"/>
        <v>1479.14</v>
      </c>
      <c r="Q88" s="378">
        <f t="shared" si="22"/>
        <v>873.78</v>
      </c>
      <c r="R88" s="378"/>
      <c r="S88" s="378">
        <f t="shared" si="23"/>
        <v>1284.82</v>
      </c>
      <c r="T88" s="378">
        <v>0.5</v>
      </c>
      <c r="U88" s="378">
        <f t="shared" si="24"/>
        <v>203.19</v>
      </c>
    </row>
    <row r="89" spans="1:21" ht="30" customHeight="1">
      <c r="A89" s="376" t="s">
        <v>76</v>
      </c>
      <c r="B89" s="377">
        <v>80</v>
      </c>
      <c r="C89" s="377" t="s">
        <v>40</v>
      </c>
      <c r="D89" s="378">
        <v>44.78</v>
      </c>
      <c r="E89" s="378">
        <v>25.43</v>
      </c>
      <c r="F89" s="377">
        <v>22.74</v>
      </c>
      <c r="G89" s="378">
        <v>25.29</v>
      </c>
      <c r="H89" s="377">
        <v>22.61</v>
      </c>
      <c r="I89" s="379">
        <f t="shared" si="27"/>
        <v>2.69</v>
      </c>
      <c r="J89" s="380">
        <f t="shared" si="17"/>
        <v>2.68</v>
      </c>
      <c r="K89" s="381">
        <f t="shared" si="18"/>
        <v>3.79</v>
      </c>
      <c r="L89" s="382">
        <v>6</v>
      </c>
      <c r="M89" s="379">
        <f t="shared" si="19"/>
        <v>1018.3</v>
      </c>
      <c r="N89" s="378">
        <f t="shared" si="20"/>
        <v>26.87</v>
      </c>
      <c r="O89" s="378">
        <f t="shared" si="21"/>
        <v>145.13999999999999</v>
      </c>
      <c r="P89" s="383">
        <f t="shared" si="26"/>
        <v>846.29</v>
      </c>
      <c r="Q89" s="378">
        <f t="shared" si="22"/>
        <v>577.71</v>
      </c>
      <c r="R89" s="378"/>
      <c r="S89" s="378">
        <f t="shared" si="23"/>
        <v>849.47</v>
      </c>
      <c r="T89" s="378">
        <v>0.5</v>
      </c>
      <c r="U89" s="378">
        <f t="shared" si="24"/>
        <v>134.34</v>
      </c>
    </row>
    <row r="90" spans="1:21" ht="30" customHeight="1">
      <c r="A90" s="376" t="s">
        <v>77</v>
      </c>
      <c r="B90" s="377">
        <v>80</v>
      </c>
      <c r="C90" s="377" t="s">
        <v>40</v>
      </c>
      <c r="D90" s="378">
        <v>27.13</v>
      </c>
      <c r="E90" s="378">
        <v>25.29</v>
      </c>
      <c r="F90" s="377">
        <v>22.6</v>
      </c>
      <c r="G90" s="378">
        <v>25.19</v>
      </c>
      <c r="H90" s="377">
        <v>22.52</v>
      </c>
      <c r="I90" s="379">
        <f t="shared" si="27"/>
        <v>2.69</v>
      </c>
      <c r="J90" s="380">
        <f t="shared" si="17"/>
        <v>2.67</v>
      </c>
      <c r="K90" s="381">
        <f t="shared" si="18"/>
        <v>3.78</v>
      </c>
      <c r="L90" s="382">
        <v>6</v>
      </c>
      <c r="M90" s="379">
        <f t="shared" si="19"/>
        <v>615.30999999999995</v>
      </c>
      <c r="N90" s="378">
        <f t="shared" si="20"/>
        <v>16.28</v>
      </c>
      <c r="O90" s="378">
        <f t="shared" si="21"/>
        <v>87.94</v>
      </c>
      <c r="P90" s="383">
        <f t="shared" si="26"/>
        <v>511.09</v>
      </c>
      <c r="Q90" s="378">
        <f t="shared" si="22"/>
        <v>350</v>
      </c>
      <c r="R90" s="378"/>
      <c r="S90" s="378">
        <f t="shared" si="23"/>
        <v>514.65</v>
      </c>
      <c r="T90" s="378">
        <v>0.5</v>
      </c>
      <c r="U90" s="378">
        <f t="shared" si="24"/>
        <v>81.39</v>
      </c>
    </row>
    <row r="91" spans="1:21" ht="30" customHeight="1">
      <c r="A91" s="376" t="s">
        <v>78</v>
      </c>
      <c r="B91" s="377">
        <v>80</v>
      </c>
      <c r="C91" s="377" t="s">
        <v>40</v>
      </c>
      <c r="D91" s="378">
        <v>10</v>
      </c>
      <c r="E91" s="378">
        <v>25.19</v>
      </c>
      <c r="F91" s="377">
        <v>21.52</v>
      </c>
      <c r="G91" s="378">
        <v>24.16</v>
      </c>
      <c r="H91" s="377">
        <v>21.48</v>
      </c>
      <c r="I91" s="379">
        <f t="shared" si="27"/>
        <v>3.67</v>
      </c>
      <c r="J91" s="380">
        <f t="shared" si="17"/>
        <v>2.68</v>
      </c>
      <c r="K91" s="381">
        <f t="shared" si="18"/>
        <v>4.28</v>
      </c>
      <c r="L91" s="382">
        <v>6</v>
      </c>
      <c r="M91" s="379">
        <f t="shared" si="19"/>
        <v>256.8</v>
      </c>
      <c r="N91" s="378">
        <f t="shared" si="20"/>
        <v>6</v>
      </c>
      <c r="O91" s="378">
        <f t="shared" si="21"/>
        <v>32.409999999999997</v>
      </c>
      <c r="P91" s="383">
        <f t="shared" si="26"/>
        <v>218.39</v>
      </c>
      <c r="Q91" s="378">
        <f t="shared" si="22"/>
        <v>129.01</v>
      </c>
      <c r="R91" s="378"/>
      <c r="S91" s="378">
        <f t="shared" si="23"/>
        <v>189.69</v>
      </c>
      <c r="T91" s="378">
        <v>0.5</v>
      </c>
      <c r="U91" s="378">
        <f t="shared" si="24"/>
        <v>30</v>
      </c>
    </row>
    <row r="92" spans="1:21" ht="30" customHeight="1">
      <c r="A92" s="376" t="s">
        <v>79</v>
      </c>
      <c r="B92" s="377">
        <v>80</v>
      </c>
      <c r="C92" s="377" t="s">
        <v>40</v>
      </c>
      <c r="D92" s="378">
        <v>8</v>
      </c>
      <c r="E92" s="378">
        <v>24.16</v>
      </c>
      <c r="F92" s="377">
        <v>20.48</v>
      </c>
      <c r="G92" s="378">
        <v>23.13</v>
      </c>
      <c r="H92" s="377">
        <v>20.45</v>
      </c>
      <c r="I92" s="379">
        <f t="shared" si="27"/>
        <v>3.68</v>
      </c>
      <c r="J92" s="380">
        <f t="shared" si="17"/>
        <v>2.68</v>
      </c>
      <c r="K92" s="381">
        <f t="shared" si="18"/>
        <v>4.28</v>
      </c>
      <c r="L92" s="382">
        <v>6</v>
      </c>
      <c r="M92" s="379">
        <f t="shared" si="19"/>
        <v>205.44</v>
      </c>
      <c r="N92" s="378">
        <f t="shared" si="20"/>
        <v>4.8</v>
      </c>
      <c r="O92" s="378">
        <f t="shared" si="21"/>
        <v>25.93</v>
      </c>
      <c r="P92" s="383">
        <f t="shared" si="26"/>
        <v>174.71</v>
      </c>
      <c r="Q92" s="378">
        <f t="shared" si="22"/>
        <v>103.21</v>
      </c>
      <c r="R92" s="378"/>
      <c r="S92" s="378">
        <f t="shared" si="23"/>
        <v>151.76</v>
      </c>
      <c r="T92" s="378">
        <v>0.5</v>
      </c>
      <c r="U92" s="378">
        <f t="shared" si="24"/>
        <v>24</v>
      </c>
    </row>
    <row r="93" spans="1:21" ht="30" customHeight="1">
      <c r="A93" s="376" t="s">
        <v>80</v>
      </c>
      <c r="B93" s="377">
        <v>80</v>
      </c>
      <c r="C93" s="377" t="s">
        <v>40</v>
      </c>
      <c r="D93" s="378">
        <v>33</v>
      </c>
      <c r="E93" s="378">
        <v>23.13</v>
      </c>
      <c r="F93" s="377">
        <v>19.45</v>
      </c>
      <c r="G93" s="378">
        <v>22.04</v>
      </c>
      <c r="H93" s="377">
        <v>19.37</v>
      </c>
      <c r="I93" s="379">
        <f t="shared" si="27"/>
        <v>3.68</v>
      </c>
      <c r="J93" s="380">
        <f t="shared" si="17"/>
        <v>2.67</v>
      </c>
      <c r="K93" s="381">
        <f t="shared" si="18"/>
        <v>4.28</v>
      </c>
      <c r="L93" s="382">
        <v>6</v>
      </c>
      <c r="M93" s="379">
        <f t="shared" si="19"/>
        <v>847.44</v>
      </c>
      <c r="N93" s="378">
        <f t="shared" si="20"/>
        <v>19.8</v>
      </c>
      <c r="O93" s="378">
        <f t="shared" si="21"/>
        <v>106.96</v>
      </c>
      <c r="P93" s="383">
        <f t="shared" si="26"/>
        <v>720.68</v>
      </c>
      <c r="Q93" s="378">
        <f t="shared" si="22"/>
        <v>425.73</v>
      </c>
      <c r="R93" s="378"/>
      <c r="S93" s="378">
        <f t="shared" si="23"/>
        <v>626</v>
      </c>
      <c r="T93" s="378">
        <v>0.5</v>
      </c>
      <c r="U93" s="378">
        <f t="shared" si="24"/>
        <v>99</v>
      </c>
    </row>
    <row r="94" spans="1:21" ht="30" customHeight="1">
      <c r="A94" s="376" t="s">
        <v>81</v>
      </c>
      <c r="B94" s="377">
        <v>80</v>
      </c>
      <c r="C94" s="377" t="s">
        <v>40</v>
      </c>
      <c r="D94" s="378">
        <v>8.5</v>
      </c>
      <c r="E94" s="378">
        <v>22.04</v>
      </c>
      <c r="F94" s="377">
        <v>19.37</v>
      </c>
      <c r="G94" s="378">
        <v>22</v>
      </c>
      <c r="H94" s="377">
        <v>19.32</v>
      </c>
      <c r="I94" s="379">
        <f t="shared" si="27"/>
        <v>2.67</v>
      </c>
      <c r="J94" s="380">
        <f t="shared" si="17"/>
        <v>2.68</v>
      </c>
      <c r="K94" s="381">
        <f t="shared" si="18"/>
        <v>3.78</v>
      </c>
      <c r="L94" s="382">
        <v>6</v>
      </c>
      <c r="M94" s="379">
        <f t="shared" si="19"/>
        <v>192.78</v>
      </c>
      <c r="N94" s="378">
        <f t="shared" si="20"/>
        <v>5.0999999999999996</v>
      </c>
      <c r="O94" s="378">
        <f t="shared" si="21"/>
        <v>27.55</v>
      </c>
      <c r="P94" s="383">
        <f t="shared" si="26"/>
        <v>160.13</v>
      </c>
      <c r="Q94" s="378">
        <f t="shared" si="22"/>
        <v>109.66</v>
      </c>
      <c r="R94" s="378"/>
      <c r="S94" s="378">
        <f t="shared" si="23"/>
        <v>161.24</v>
      </c>
      <c r="T94" s="378">
        <v>0.5</v>
      </c>
      <c r="U94" s="378">
        <f t="shared" si="24"/>
        <v>25.5</v>
      </c>
    </row>
    <row r="95" spans="1:21" ht="30" customHeight="1">
      <c r="A95" s="376" t="s">
        <v>82</v>
      </c>
      <c r="B95" s="377">
        <v>80</v>
      </c>
      <c r="C95" s="377" t="s">
        <v>40</v>
      </c>
      <c r="D95" s="378">
        <v>10.47</v>
      </c>
      <c r="E95" s="378">
        <v>22</v>
      </c>
      <c r="F95" s="377">
        <v>19.309999999999999</v>
      </c>
      <c r="G95" s="378">
        <v>21.97</v>
      </c>
      <c r="H95" s="377">
        <v>19.29</v>
      </c>
      <c r="I95" s="379">
        <f t="shared" si="27"/>
        <v>2.69</v>
      </c>
      <c r="J95" s="380">
        <f t="shared" si="17"/>
        <v>2.68</v>
      </c>
      <c r="K95" s="381">
        <f t="shared" si="18"/>
        <v>3.79</v>
      </c>
      <c r="L95" s="382">
        <v>6</v>
      </c>
      <c r="M95" s="379">
        <f t="shared" si="19"/>
        <v>238.09</v>
      </c>
      <c r="N95" s="378">
        <f t="shared" si="20"/>
        <v>6.28</v>
      </c>
      <c r="O95" s="378">
        <f t="shared" si="21"/>
        <v>33.94</v>
      </c>
      <c r="P95" s="383">
        <f t="shared" si="26"/>
        <v>197.87</v>
      </c>
      <c r="Q95" s="378">
        <f t="shared" si="22"/>
        <v>135.07</v>
      </c>
      <c r="R95" s="378"/>
      <c r="S95" s="378">
        <f t="shared" si="23"/>
        <v>198.61</v>
      </c>
      <c r="T95" s="378">
        <v>0.5</v>
      </c>
      <c r="U95" s="378">
        <f t="shared" si="24"/>
        <v>31.41</v>
      </c>
    </row>
    <row r="96" spans="1:21" ht="30" customHeight="1">
      <c r="A96" s="376" t="s">
        <v>83</v>
      </c>
      <c r="B96" s="377">
        <v>80</v>
      </c>
      <c r="C96" s="377" t="s">
        <v>40</v>
      </c>
      <c r="D96" s="378">
        <v>25.36</v>
      </c>
      <c r="E96" s="378">
        <v>21.97</v>
      </c>
      <c r="F96" s="377">
        <v>19.28</v>
      </c>
      <c r="G96" s="378">
        <v>21.89</v>
      </c>
      <c r="H96" s="377">
        <v>19.21</v>
      </c>
      <c r="I96" s="379">
        <f t="shared" si="27"/>
        <v>2.69</v>
      </c>
      <c r="J96" s="380">
        <f t="shared" si="17"/>
        <v>2.68</v>
      </c>
      <c r="K96" s="381">
        <f t="shared" si="18"/>
        <v>3.79</v>
      </c>
      <c r="L96" s="382">
        <v>6</v>
      </c>
      <c r="M96" s="379">
        <f t="shared" si="19"/>
        <v>576.69000000000005</v>
      </c>
      <c r="N96" s="378">
        <f t="shared" si="20"/>
        <v>15.22</v>
      </c>
      <c r="O96" s="378">
        <f t="shared" si="21"/>
        <v>82.2</v>
      </c>
      <c r="P96" s="383">
        <f t="shared" si="26"/>
        <v>479.27</v>
      </c>
      <c r="Q96" s="378">
        <f t="shared" si="22"/>
        <v>327.16000000000003</v>
      </c>
      <c r="R96" s="378"/>
      <c r="S96" s="378">
        <f t="shared" si="23"/>
        <v>481.07</v>
      </c>
      <c r="T96" s="378">
        <v>0.5</v>
      </c>
      <c r="U96" s="378">
        <f t="shared" si="24"/>
        <v>76.08</v>
      </c>
    </row>
    <row r="97" spans="1:21" ht="30" customHeight="1">
      <c r="A97" s="376" t="s">
        <v>84</v>
      </c>
      <c r="B97" s="377">
        <v>80</v>
      </c>
      <c r="C97" s="377" t="s">
        <v>40</v>
      </c>
      <c r="D97" s="378">
        <v>7.32</v>
      </c>
      <c r="E97" s="378">
        <v>21.89</v>
      </c>
      <c r="F97" s="377">
        <v>19.2</v>
      </c>
      <c r="G97" s="378">
        <v>21.83</v>
      </c>
      <c r="H97" s="377">
        <v>19.149999999999999</v>
      </c>
      <c r="I97" s="379">
        <f t="shared" si="27"/>
        <v>2.69</v>
      </c>
      <c r="J97" s="380">
        <f t="shared" si="17"/>
        <v>2.68</v>
      </c>
      <c r="K97" s="381">
        <f t="shared" si="18"/>
        <v>3.79</v>
      </c>
      <c r="L97" s="382">
        <v>6</v>
      </c>
      <c r="M97" s="379">
        <f t="shared" si="19"/>
        <v>166.46</v>
      </c>
      <c r="N97" s="378">
        <f t="shared" si="20"/>
        <v>4.3899999999999997</v>
      </c>
      <c r="O97" s="378">
        <f t="shared" si="21"/>
        <v>23.73</v>
      </c>
      <c r="P97" s="383">
        <f t="shared" si="26"/>
        <v>138.34</v>
      </c>
      <c r="Q97" s="378">
        <f t="shared" si="22"/>
        <v>94.43</v>
      </c>
      <c r="R97" s="378"/>
      <c r="S97" s="378">
        <f t="shared" si="23"/>
        <v>138.86000000000001</v>
      </c>
      <c r="T97" s="378">
        <v>0.5</v>
      </c>
      <c r="U97" s="378">
        <f t="shared" si="24"/>
        <v>21.96</v>
      </c>
    </row>
    <row r="98" spans="1:21" ht="30" customHeight="1">
      <c r="A98" s="376" t="s">
        <v>85</v>
      </c>
      <c r="B98" s="377">
        <v>80</v>
      </c>
      <c r="C98" s="377" t="s">
        <v>40</v>
      </c>
      <c r="D98" s="378">
        <v>11.12</v>
      </c>
      <c r="E98" s="378">
        <v>21.89</v>
      </c>
      <c r="F98" s="377">
        <v>19.2</v>
      </c>
      <c r="G98" s="378">
        <v>21.83</v>
      </c>
      <c r="H98" s="377">
        <v>19.12</v>
      </c>
      <c r="I98" s="379">
        <f t="shared" si="27"/>
        <v>2.69</v>
      </c>
      <c r="J98" s="380">
        <f t="shared" si="17"/>
        <v>2.71</v>
      </c>
      <c r="K98" s="381">
        <f t="shared" si="18"/>
        <v>3.8</v>
      </c>
      <c r="L98" s="382">
        <v>6</v>
      </c>
      <c r="M98" s="379">
        <f t="shared" si="19"/>
        <v>253.54</v>
      </c>
      <c r="N98" s="378">
        <f t="shared" si="20"/>
        <v>6.67</v>
      </c>
      <c r="O98" s="378">
        <f t="shared" si="21"/>
        <v>36.04</v>
      </c>
      <c r="P98" s="383">
        <f t="shared" si="26"/>
        <v>210.83</v>
      </c>
      <c r="Q98" s="378">
        <f t="shared" si="22"/>
        <v>143.46</v>
      </c>
      <c r="R98" s="378"/>
      <c r="S98" s="378">
        <f t="shared" si="23"/>
        <v>210.94</v>
      </c>
      <c r="T98" s="378">
        <v>0.5</v>
      </c>
      <c r="U98" s="378">
        <f t="shared" si="24"/>
        <v>33.36</v>
      </c>
    </row>
    <row r="99" spans="1:21" ht="30" customHeight="1">
      <c r="A99" s="376"/>
      <c r="B99" s="377"/>
      <c r="C99" s="377"/>
      <c r="D99" s="378"/>
      <c r="E99" s="378"/>
      <c r="F99" s="378"/>
      <c r="G99" s="378"/>
      <c r="H99" s="377"/>
      <c r="I99" s="379"/>
      <c r="J99" s="380"/>
      <c r="K99" s="381"/>
      <c r="L99" s="382"/>
      <c r="M99" s="379"/>
      <c r="N99" s="378"/>
      <c r="O99" s="378"/>
      <c r="P99" s="383"/>
      <c r="Q99" s="378"/>
      <c r="R99" s="378"/>
      <c r="S99" s="378"/>
      <c r="T99" s="378"/>
      <c r="U99" s="378"/>
    </row>
    <row r="100" spans="1:21" ht="30" customHeight="1">
      <c r="A100" s="376" t="s">
        <v>86</v>
      </c>
      <c r="B100" s="377">
        <v>12</v>
      </c>
      <c r="C100" s="377" t="s">
        <v>17</v>
      </c>
      <c r="D100" s="378">
        <f>18.16+17.68+46.54+46.9+72.47+72.47+19.8+19.23+34.9+33.32+22.79+22.15+35.73+35.86+64.1+64.37+26.18+24.07+57.36+58.1+10.83+7.25+7.05+9.39+28.15+26.19+11.04+9.14+16.71+13.27+27.64+26.85+28.94+28.36+15.5+17.62+17.46+17.37+23.38+22.5+23.45+25.66+18.05+20.88+39.29+37.13+7.61+6.78+19.23+18.45+65.71+66.38+14.63+14.54+28.51+26.7+72.71+64.04+20.15+20.36+20.15+20.36+40.42+10.97+8.17+8.25+95.66+92.87+69.24+67.27+45.43+45.7+27.31+28.55+21.9+23.11+34.4+33.01+11.85+6.93+13+9.11+24.41+27.69+29.26+30.1+32.02+31.7+36.87+35.27+15.2+15.02+20.07+22.15+17.14+17.46+34.21+34.66</f>
        <v>2923.97</v>
      </c>
      <c r="E100" s="378"/>
      <c r="F100" s="378"/>
      <c r="G100" s="378"/>
      <c r="H100" s="377"/>
      <c r="I100" s="379">
        <f t="shared" ref="I100" si="28">+(E100-F100)</f>
        <v>0</v>
      </c>
      <c r="J100" s="380">
        <f>+(G100-H100)</f>
        <v>0</v>
      </c>
      <c r="K100" s="381">
        <v>4.5</v>
      </c>
      <c r="L100" s="382">
        <v>0.7</v>
      </c>
      <c r="M100" s="379">
        <f>(L100*K100*D100)</f>
        <v>9210.51</v>
      </c>
      <c r="N100" s="378">
        <f>(L100*D100*0.1)</f>
        <v>204.68</v>
      </c>
      <c r="O100" s="378">
        <f>((((B100*2.54)/100)*((B100*2.54)/100)*3.14)/4)*D100</f>
        <v>213.24</v>
      </c>
      <c r="P100" s="383">
        <f t="shared" ref="P100" si="29">+M100-(N100+O100)</f>
        <v>8792.59</v>
      </c>
      <c r="Q100" s="378">
        <f>(L100*D100*((B100*2.54/100)+0.3)-O100)*1.2</f>
        <v>1229.58</v>
      </c>
      <c r="R100" s="378"/>
      <c r="S100" s="378">
        <f t="shared" ref="S100" si="30">+(N100+O100+Q100/1.2)*1.3</f>
        <v>1875.34</v>
      </c>
      <c r="T100" s="378">
        <v>0.5</v>
      </c>
      <c r="U100" s="378">
        <f>+D100*L100*T100</f>
        <v>1023.39</v>
      </c>
    </row>
    <row r="101" spans="1:21" ht="30" customHeight="1">
      <c r="A101" s="376"/>
      <c r="B101" s="377"/>
      <c r="C101" s="377"/>
      <c r="D101" s="378"/>
      <c r="E101" s="378"/>
      <c r="F101" s="378">
        <f>28.72+30.55+11.88+11.83+50.2+48.93+45.16+43.47+16.78+16.18+15.07+16.44+4.54+6.28+10.76+10.55+12.1+12.26+84.23+84.21+37.07+36.7+28.64+27.62+12.19+12.4+6.12+7.5+18.4+17.07+22.5+22.54+17.82+19.45+13.15+10.63+7.36+10.24+23.06+21.78+10.24+4.65+46.91+44.18+40.05+39.63+51.58+49.8+28.8+29.11+46.86+48.3+13.87+15.74+58.38+61.13+19.42+17.9+58.98+55.33+101.54+102.22+60.82+66.38+27.56+30.91+11.53+15.63+12.32+12.79+13.65+8.14+10+5.95+17.27+13.17+20.3+16.14+21.19+26.17+35.06+36.08+10.36+7.49+7.42+11.56+15.39+11.56+43.12+44.12+10.61+7.62+21.37+18.72+6.09+3.8+54.47+52.96+25.74+29.6+4.13+10.81+9.51+10.51+11.58+18.64+6.9+8.94+9.45+12.51+7.77+4.78+9+7.76</f>
        <v>2852.35</v>
      </c>
      <c r="G101" s="378"/>
      <c r="H101" s="377"/>
      <c r="I101" s="379"/>
      <c r="J101" s="380"/>
      <c r="K101" s="381"/>
      <c r="L101" s="382"/>
      <c r="M101" s="379"/>
      <c r="N101" s="378"/>
      <c r="O101" s="378"/>
      <c r="P101" s="383"/>
      <c r="Q101" s="378"/>
      <c r="R101" s="378"/>
      <c r="S101" s="378"/>
      <c r="T101" s="378"/>
      <c r="U101" s="378"/>
    </row>
    <row r="102" spans="1:21" ht="30" customHeight="1">
      <c r="A102" s="376" t="s">
        <v>87</v>
      </c>
      <c r="B102" s="377"/>
      <c r="C102" s="377"/>
      <c r="D102" s="378">
        <v>450</v>
      </c>
      <c r="E102" s="378"/>
      <c r="F102" s="378"/>
      <c r="G102" s="378"/>
      <c r="H102" s="377"/>
      <c r="I102" s="379">
        <f t="shared" ref="I102:I103" si="31">+(E102-F102)</f>
        <v>0</v>
      </c>
      <c r="J102" s="380">
        <f>+(G102-H102)</f>
        <v>0</v>
      </c>
      <c r="K102" s="381">
        <v>3.5</v>
      </c>
      <c r="L102" s="379">
        <v>4.5</v>
      </c>
      <c r="M102" s="379">
        <f>(L102*K102*D102)</f>
        <v>7087.5</v>
      </c>
      <c r="N102" s="378"/>
      <c r="O102" s="378">
        <f>+D102*3*2.5</f>
        <v>3375</v>
      </c>
      <c r="P102" s="383">
        <f>+M102-(N102+O102)</f>
        <v>3712.5</v>
      </c>
      <c r="Q102" s="378"/>
      <c r="R102" s="378"/>
      <c r="S102" s="378">
        <f>+P102*1.3</f>
        <v>4826.25</v>
      </c>
      <c r="T102" s="378">
        <v>0.5</v>
      </c>
      <c r="U102" s="378">
        <f>+D102*L102*T102</f>
        <v>1012.5</v>
      </c>
    </row>
    <row r="103" spans="1:21" ht="30" customHeight="1">
      <c r="A103" s="376" t="s">
        <v>88</v>
      </c>
      <c r="B103" s="377"/>
      <c r="C103" s="377"/>
      <c r="D103" s="378">
        <v>0</v>
      </c>
      <c r="E103" s="378"/>
      <c r="F103" s="378"/>
      <c r="G103" s="378"/>
      <c r="H103" s="377"/>
      <c r="I103" s="379">
        <f t="shared" si="31"/>
        <v>0</v>
      </c>
      <c r="J103" s="380">
        <f>+(G103-H103)</f>
        <v>0</v>
      </c>
      <c r="K103" s="381">
        <v>3.5</v>
      </c>
      <c r="L103" s="379">
        <v>6</v>
      </c>
      <c r="M103" s="379">
        <f>(L103*K103*D103)</f>
        <v>0</v>
      </c>
      <c r="N103" s="378"/>
      <c r="O103" s="378">
        <f>+D103*4.75*2.5</f>
        <v>0</v>
      </c>
      <c r="P103" s="383">
        <f>+M103-(N103+O103)</f>
        <v>0</v>
      </c>
      <c r="Q103" s="378"/>
      <c r="R103" s="378"/>
      <c r="S103" s="378">
        <f>+P103*1.3</f>
        <v>0</v>
      </c>
      <c r="T103" s="378">
        <v>0.5</v>
      </c>
      <c r="U103" s="378">
        <f>+D103*L103*T103</f>
        <v>0</v>
      </c>
    </row>
    <row r="104" spans="1:21" ht="30" customHeight="1" thickBot="1">
      <c r="A104" s="376"/>
      <c r="B104" s="377"/>
      <c r="C104" s="377"/>
      <c r="D104" s="378"/>
      <c r="E104" s="378"/>
      <c r="F104" s="378"/>
      <c r="G104" s="378"/>
      <c r="H104" s="377"/>
      <c r="I104" s="379"/>
      <c r="J104" s="380"/>
      <c r="K104" s="381"/>
      <c r="L104" s="382"/>
      <c r="M104" s="379">
        <f t="shared" ref="M104" si="32">(L104*K104*D104)</f>
        <v>0</v>
      </c>
      <c r="N104" s="378">
        <f>(L104*D104*0.1)</f>
        <v>0</v>
      </c>
      <c r="O104" s="378">
        <f t="shared" ref="O104" si="33">((((B104*2.54)/100)*((B104*2.54)/100)*3.14)/4)*D104</f>
        <v>0</v>
      </c>
      <c r="P104" s="383">
        <f t="shared" ref="P104" si="34">+M104-(N104+O104)</f>
        <v>0</v>
      </c>
      <c r="Q104" s="378">
        <f t="shared" ref="Q104" si="35">(L104*D104*((B104*2.54/100)+0.3)-O104)*1.2</f>
        <v>0</v>
      </c>
      <c r="R104" s="378"/>
      <c r="S104" s="378">
        <f t="shared" ref="S104:U104" si="36">+(N104+O104+Q104/1.2)*1.3</f>
        <v>0</v>
      </c>
      <c r="T104" s="378"/>
      <c r="U104" s="378">
        <f t="shared" si="36"/>
        <v>0</v>
      </c>
    </row>
    <row r="105" spans="1:21" ht="32.25" customHeight="1" thickTop="1" thickBot="1">
      <c r="A105" s="36"/>
      <c r="B105" s="9" t="s">
        <v>18</v>
      </c>
      <c r="C105" s="10"/>
      <c r="D105" s="11"/>
      <c r="E105" s="11"/>
      <c r="F105" s="11"/>
      <c r="G105" s="11"/>
      <c r="H105" s="12"/>
      <c r="I105" s="12"/>
      <c r="J105" s="41"/>
      <c r="K105" s="12"/>
      <c r="L105" s="12"/>
      <c r="M105" s="11">
        <f t="shared" ref="M105:S105" si="37">SUM(M53:M104)</f>
        <v>42144.3</v>
      </c>
      <c r="N105" s="11">
        <f t="shared" si="37"/>
        <v>945.07</v>
      </c>
      <c r="O105" s="11">
        <f t="shared" si="37"/>
        <v>6479.68</v>
      </c>
      <c r="P105" s="11">
        <f t="shared" si="37"/>
        <v>34719.550000000003</v>
      </c>
      <c r="Q105" s="11">
        <f t="shared" si="37"/>
        <v>15478.17</v>
      </c>
      <c r="R105" s="11">
        <f t="shared" si="37"/>
        <v>0</v>
      </c>
      <c r="S105" s="11">
        <f t="shared" si="37"/>
        <v>26858.94</v>
      </c>
      <c r="T105" s="11"/>
      <c r="U105" s="11">
        <f>SUM(U53:U104)</f>
        <v>5737.89</v>
      </c>
    </row>
    <row r="106" spans="1:21" ht="32.25" customHeight="1" thickTop="1">
      <c r="A106" s="37"/>
      <c r="B106" s="13"/>
      <c r="C106" s="13"/>
      <c r="D106" s="14"/>
      <c r="E106" s="14"/>
      <c r="F106" s="14"/>
      <c r="G106" s="14"/>
      <c r="H106" s="15"/>
      <c r="I106" s="15"/>
      <c r="J106" s="42"/>
      <c r="K106" s="15"/>
      <c r="L106" s="15"/>
      <c r="M106" s="15"/>
      <c r="N106" s="15"/>
      <c r="O106" s="15"/>
      <c r="P106" s="15"/>
      <c r="Q106" s="15"/>
      <c r="R106" s="15"/>
      <c r="S106" s="15"/>
      <c r="T106" s="54"/>
      <c r="U106" s="54"/>
    </row>
    <row r="107" spans="1:21" ht="32.25" customHeight="1">
      <c r="A107" s="37"/>
      <c r="B107" s="13"/>
      <c r="C107" s="563" t="s">
        <v>89</v>
      </c>
      <c r="D107" s="563"/>
      <c r="E107" s="563"/>
      <c r="F107" s="14"/>
      <c r="G107" s="14"/>
      <c r="H107" s="15"/>
      <c r="I107" s="15"/>
      <c r="J107" s="42"/>
      <c r="K107" s="15"/>
      <c r="L107" s="15"/>
      <c r="M107" s="15" t="s">
        <v>90</v>
      </c>
      <c r="N107" s="15"/>
      <c r="O107" s="15">
        <f>SUM(O53:O58)</f>
        <v>177.94</v>
      </c>
      <c r="P107" s="15"/>
      <c r="Q107" s="15"/>
      <c r="R107" s="15"/>
      <c r="S107" s="15"/>
      <c r="T107" s="54"/>
      <c r="U107" s="54"/>
    </row>
    <row r="108" spans="1:21" ht="32.25" customHeight="1" thickBot="1">
      <c r="A108" s="37"/>
      <c r="B108" s="13"/>
      <c r="C108" s="563"/>
      <c r="D108" s="563"/>
      <c r="E108" s="563"/>
      <c r="F108" s="14"/>
      <c r="G108" s="14"/>
      <c r="H108" s="15"/>
      <c r="I108" s="15"/>
      <c r="J108" s="42"/>
      <c r="K108" s="15"/>
      <c r="L108" s="15"/>
      <c r="M108" s="15" t="s">
        <v>91</v>
      </c>
      <c r="N108" s="15"/>
      <c r="O108" s="15">
        <f>SUM(O59:O99)</f>
        <v>2713.5</v>
      </c>
      <c r="P108" s="15"/>
      <c r="Q108" s="15">
        <f>+P102*1.3</f>
        <v>4826.25</v>
      </c>
      <c r="R108" s="15"/>
      <c r="S108" s="15"/>
      <c r="T108" s="54"/>
      <c r="U108" s="54"/>
    </row>
    <row r="109" spans="1:21" ht="32.25" customHeight="1" thickTop="1" thickBot="1">
      <c r="A109" s="37"/>
      <c r="B109" s="13"/>
      <c r="C109" s="377"/>
      <c r="D109" s="20">
        <f>SUM(D53:D61)</f>
        <v>283.89999999999998</v>
      </c>
      <c r="E109" s="378"/>
      <c r="F109" s="14"/>
      <c r="G109" s="14"/>
      <c r="H109" s="15"/>
      <c r="I109" s="15"/>
      <c r="J109" s="42"/>
      <c r="K109" s="15"/>
      <c r="L109" s="15"/>
      <c r="M109" s="15" t="s">
        <v>92</v>
      </c>
      <c r="N109" s="15"/>
      <c r="O109" s="15">
        <f>+O100</f>
        <v>213.24</v>
      </c>
      <c r="P109" s="15"/>
      <c r="Q109" s="15"/>
      <c r="R109" s="15"/>
      <c r="S109" s="15"/>
      <c r="T109" s="54"/>
      <c r="U109" s="54"/>
    </row>
    <row r="110" spans="1:21" ht="32.25" customHeight="1" thickTop="1">
      <c r="A110" s="37"/>
      <c r="B110" s="13"/>
      <c r="C110" s="563" t="s">
        <v>93</v>
      </c>
      <c r="D110" s="563"/>
      <c r="E110" s="563"/>
      <c r="F110" s="14"/>
      <c r="G110" s="14" t="s">
        <v>94</v>
      </c>
      <c r="H110" s="15">
        <v>450</v>
      </c>
      <c r="I110" s="15"/>
      <c r="J110" s="42"/>
      <c r="K110" s="15"/>
      <c r="L110" s="15"/>
      <c r="M110" s="15" t="s">
        <v>95</v>
      </c>
      <c r="N110" s="15"/>
      <c r="O110" s="15">
        <f>SUM(O102:O103)</f>
        <v>3375</v>
      </c>
      <c r="P110" s="15"/>
      <c r="Q110" s="15"/>
      <c r="R110" s="15"/>
      <c r="S110" s="15"/>
      <c r="T110" s="54"/>
      <c r="U110" s="54"/>
    </row>
    <row r="111" spans="1:21" ht="32.25" customHeight="1" thickBot="1">
      <c r="A111" s="37"/>
      <c r="B111" s="13"/>
      <c r="C111" s="563"/>
      <c r="D111" s="563"/>
      <c r="E111" s="563"/>
      <c r="F111" s="14"/>
      <c r="G111" s="14"/>
      <c r="H111" s="15"/>
      <c r="I111" s="15"/>
      <c r="J111" s="42"/>
      <c r="K111" s="15"/>
      <c r="L111" s="15"/>
      <c r="M111" s="15"/>
      <c r="N111" s="15"/>
      <c r="O111" s="15"/>
      <c r="P111" s="15"/>
      <c r="Q111" s="15"/>
      <c r="R111" s="15"/>
      <c r="S111" s="15"/>
      <c r="T111" s="54"/>
      <c r="U111" s="54"/>
    </row>
    <row r="112" spans="1:21" ht="32.25" customHeight="1" thickTop="1" thickBot="1">
      <c r="A112" s="37"/>
      <c r="B112" s="13"/>
      <c r="C112" s="377"/>
      <c r="D112" s="20">
        <f>SUM(D62:D78)</f>
        <v>366.26</v>
      </c>
      <c r="E112" s="378"/>
      <c r="F112" s="14"/>
      <c r="G112" s="14"/>
      <c r="H112" s="15"/>
      <c r="I112" s="15"/>
      <c r="J112" s="42"/>
      <c r="K112" s="15"/>
      <c r="L112" s="15"/>
      <c r="M112" s="15"/>
      <c r="N112" s="15"/>
      <c r="O112" s="15"/>
      <c r="P112" s="15"/>
      <c r="Q112" s="15"/>
      <c r="R112" s="15"/>
      <c r="S112" s="15"/>
      <c r="T112" s="54"/>
      <c r="U112" s="54"/>
    </row>
    <row r="113" spans="1:30" ht="32.25" customHeight="1" thickTop="1">
      <c r="A113" s="37"/>
      <c r="B113" s="13"/>
      <c r="C113" s="563" t="s">
        <v>96</v>
      </c>
      <c r="D113" s="563"/>
      <c r="E113" s="563"/>
      <c r="F113" s="14"/>
      <c r="G113" s="14">
        <f>+D109+D112+D115</f>
        <v>1234</v>
      </c>
      <c r="H113" s="15">
        <f>+G113+(2.6*45)</f>
        <v>1351</v>
      </c>
      <c r="I113" s="15"/>
      <c r="J113" s="42"/>
      <c r="K113" s="15"/>
      <c r="L113" s="15"/>
      <c r="M113" s="15"/>
      <c r="N113" s="15"/>
      <c r="O113" s="15"/>
      <c r="P113" s="15"/>
      <c r="Q113" s="15"/>
      <c r="R113" s="15"/>
      <c r="S113" s="1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32.25" customHeight="1" thickBot="1">
      <c r="A114" s="37"/>
      <c r="B114" s="13"/>
      <c r="C114" s="563"/>
      <c r="D114" s="563"/>
      <c r="E114" s="563"/>
      <c r="F114" s="14"/>
      <c r="G114" s="14"/>
      <c r="H114" s="15"/>
      <c r="I114" s="15"/>
      <c r="J114" s="42"/>
      <c r="K114" s="15"/>
      <c r="L114" s="15"/>
      <c r="M114" s="15"/>
      <c r="N114" s="15"/>
      <c r="O114" s="15"/>
      <c r="P114" s="15"/>
      <c r="Q114" s="15"/>
      <c r="R114" s="15"/>
      <c r="S114" s="15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32.25" customHeight="1" thickTop="1" thickBot="1">
      <c r="A115" s="37"/>
      <c r="B115" s="13"/>
      <c r="C115" s="377"/>
      <c r="D115" s="20">
        <f>SUM(D79:D98)</f>
        <v>583.84</v>
      </c>
      <c r="E115" s="378"/>
      <c r="F115" s="14"/>
      <c r="G115" s="14"/>
      <c r="H115" s="15"/>
      <c r="I115" s="15"/>
      <c r="J115" s="42"/>
      <c r="K115" s="15"/>
      <c r="L115" s="15"/>
      <c r="M115" s="15" t="s">
        <v>97</v>
      </c>
      <c r="N115" s="15"/>
      <c r="O115" s="15">
        <f>SUM(O107:O110)</f>
        <v>6479.68</v>
      </c>
      <c r="P115" s="15"/>
      <c r="Q115" s="15"/>
      <c r="R115" s="15"/>
      <c r="S115" s="15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32.25" customHeight="1" thickTop="1">
      <c r="A116" s="37"/>
      <c r="B116" s="13"/>
      <c r="C116" s="563" t="s">
        <v>98</v>
      </c>
      <c r="D116" s="563"/>
      <c r="E116" s="563"/>
      <c r="F116" s="14"/>
      <c r="G116" s="14"/>
      <c r="H116" s="15"/>
      <c r="I116" s="15"/>
      <c r="J116" s="42"/>
      <c r="K116" s="15"/>
      <c r="L116" s="15"/>
      <c r="M116" s="15"/>
      <c r="N116" s="15"/>
      <c r="O116" s="15"/>
      <c r="P116" s="15"/>
      <c r="Q116" s="15"/>
      <c r="R116" s="15"/>
      <c r="S116" s="15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ht="32.25" customHeight="1" thickBot="1">
      <c r="A117" s="37"/>
      <c r="B117" s="13"/>
      <c r="C117" s="563"/>
      <c r="D117" s="563"/>
      <c r="E117" s="563"/>
      <c r="F117" s="14"/>
      <c r="G117" s="14"/>
      <c r="H117" s="15"/>
      <c r="I117" s="15"/>
      <c r="J117" s="42"/>
      <c r="K117" s="15"/>
      <c r="L117" s="15"/>
      <c r="M117" s="15"/>
      <c r="N117" s="15"/>
      <c r="O117" s="15">
        <f>+M123-O115</f>
        <v>35664.620000000003</v>
      </c>
      <c r="P117" s="15"/>
      <c r="Q117" s="15"/>
      <c r="R117" s="15"/>
      <c r="S117" s="15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 ht="32.25" customHeight="1" thickTop="1" thickBot="1">
      <c r="A118" s="37"/>
      <c r="B118" s="13"/>
      <c r="C118" s="377"/>
      <c r="D118" s="20">
        <f>+D100*1.037</f>
        <v>3032.16</v>
      </c>
      <c r="E118" s="378"/>
      <c r="F118" s="14"/>
      <c r="G118" s="14"/>
      <c r="H118" s="15"/>
      <c r="I118" s="15"/>
      <c r="J118" s="42"/>
      <c r="K118" s="15"/>
      <c r="L118" s="15"/>
      <c r="M118" s="15"/>
      <c r="N118" s="15"/>
      <c r="O118" s="15"/>
      <c r="P118" s="15"/>
      <c r="Q118" s="15"/>
      <c r="R118" s="15"/>
      <c r="S118" s="15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32.25" customHeight="1" thickTop="1" thickBot="1">
      <c r="A119" s="37"/>
      <c r="B119" s="13"/>
      <c r="C119" s="13"/>
      <c r="D119" s="14"/>
      <c r="E119" s="14"/>
      <c r="F119" s="14"/>
      <c r="G119" s="14"/>
      <c r="H119" s="15"/>
      <c r="I119" s="15"/>
      <c r="J119" s="42"/>
      <c r="K119" s="15"/>
      <c r="L119" s="15"/>
      <c r="M119" s="15"/>
      <c r="N119" s="15"/>
      <c r="O119" s="15"/>
      <c r="P119" s="15"/>
      <c r="Q119" s="15"/>
      <c r="R119" s="15"/>
      <c r="S119" s="15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32.25" customHeight="1" thickTop="1" thickBot="1">
      <c r="A120" s="37"/>
      <c r="B120" s="13"/>
      <c r="C120" s="13"/>
      <c r="D120" s="14"/>
      <c r="E120" s="14"/>
      <c r="F120" s="14"/>
      <c r="G120" s="14"/>
      <c r="H120" s="15"/>
      <c r="I120" s="15"/>
      <c r="J120" s="42"/>
      <c r="K120" s="15"/>
      <c r="L120" s="15"/>
      <c r="M120" s="16"/>
      <c r="N120" s="16"/>
      <c r="O120" s="16"/>
      <c r="P120" s="16"/>
      <c r="Q120" s="16"/>
      <c r="R120" s="16"/>
      <c r="S120" s="16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 ht="32.25" customHeight="1" thickTop="1" thickBot="1">
      <c r="A121" s="47"/>
      <c r="B121" s="45"/>
      <c r="C121" s="13"/>
      <c r="D121" s="14"/>
      <c r="E121" s="14"/>
      <c r="F121" s="43"/>
      <c r="G121" s="501" t="s">
        <v>99</v>
      </c>
      <c r="H121" s="501"/>
      <c r="I121" s="501"/>
      <c r="J121" s="501"/>
      <c r="K121" s="45"/>
      <c r="L121" s="45"/>
      <c r="M121" s="502" t="s">
        <v>100</v>
      </c>
      <c r="N121" s="503"/>
      <c r="O121" s="503"/>
      <c r="P121" s="503"/>
      <c r="Q121" s="503"/>
      <c r="R121" s="503"/>
      <c r="S121" s="50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 ht="32.25" customHeight="1" thickTop="1" thickBot="1">
      <c r="A122" s="47"/>
      <c r="B122" s="45"/>
      <c r="C122" s="13"/>
      <c r="D122" s="14"/>
      <c r="E122" s="14"/>
      <c r="F122" s="43"/>
      <c r="G122" s="378" t="s">
        <v>101</v>
      </c>
      <c r="H122" s="377" t="s">
        <v>102</v>
      </c>
      <c r="I122" s="377" t="s">
        <v>103</v>
      </c>
      <c r="J122" s="377" t="s">
        <v>104</v>
      </c>
      <c r="K122" s="45"/>
      <c r="L122" s="17" t="s">
        <v>21</v>
      </c>
      <c r="M122" s="21" t="s">
        <v>11</v>
      </c>
      <c r="N122" s="22" t="s">
        <v>12</v>
      </c>
      <c r="O122" s="22" t="s">
        <v>32</v>
      </c>
      <c r="P122" s="22" t="s">
        <v>13</v>
      </c>
      <c r="Q122" s="564" t="s">
        <v>105</v>
      </c>
      <c r="R122" s="564"/>
      <c r="S122" s="23" t="s">
        <v>106</v>
      </c>
      <c r="T122" s="23"/>
      <c r="U122" s="23" t="s">
        <v>107</v>
      </c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32.25" customHeight="1" thickTop="1" thickBot="1">
      <c r="A123" s="47"/>
      <c r="B123" s="45"/>
      <c r="C123" s="13"/>
      <c r="D123" s="14"/>
      <c r="E123" s="14"/>
      <c r="F123" s="43"/>
      <c r="G123" s="378">
        <f>SUM(D60:D62)</f>
        <v>96.57</v>
      </c>
      <c r="H123" s="377">
        <f>SUM(D53:D59)</f>
        <v>210.79</v>
      </c>
      <c r="I123" s="377"/>
      <c r="J123" s="380"/>
      <c r="K123" s="45"/>
      <c r="L123" s="18"/>
      <c r="M123" s="20">
        <f>+M105</f>
        <v>42144.3</v>
      </c>
      <c r="N123" s="20">
        <f>+N105</f>
        <v>945.07</v>
      </c>
      <c r="O123" s="20">
        <f>+O105</f>
        <v>6479.68</v>
      </c>
      <c r="P123" s="20">
        <f>+O117</f>
        <v>35664.620000000003</v>
      </c>
      <c r="Q123" s="20">
        <f>+M123-(O123+N123+U123)</f>
        <v>33594.550000000003</v>
      </c>
      <c r="R123" s="20"/>
      <c r="S123" s="20">
        <f>+S105</f>
        <v>26858.94</v>
      </c>
      <c r="T123" s="20">
        <f t="shared" ref="T123" si="38">+T105</f>
        <v>0</v>
      </c>
      <c r="U123" s="20">
        <f>+H110*5*0.5</f>
        <v>1125</v>
      </c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32.25" customHeight="1" thickTop="1" thickBot="1">
      <c r="A124" s="47" t="s">
        <v>108</v>
      </c>
      <c r="B124" s="45"/>
      <c r="C124" s="13"/>
      <c r="D124" s="14"/>
      <c r="E124" s="14"/>
      <c r="F124" s="43"/>
      <c r="G124" s="43"/>
      <c r="H124" s="45"/>
      <c r="I124" s="45"/>
      <c r="J124" s="46"/>
      <c r="K124" s="45"/>
      <c r="L124" s="48"/>
      <c r="M124" s="49"/>
      <c r="N124" s="43"/>
      <c r="O124" s="43"/>
      <c r="P124" s="43"/>
      <c r="Q124" s="43"/>
      <c r="R124" s="43"/>
      <c r="S124" s="4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ht="32.25" customHeight="1" thickTop="1" thickBot="1">
      <c r="A125" s="47"/>
      <c r="B125" s="45"/>
      <c r="C125" s="45"/>
      <c r="D125" s="43"/>
      <c r="E125" s="43"/>
      <c r="F125" s="43"/>
      <c r="G125" s="43"/>
      <c r="H125" s="45"/>
      <c r="I125" s="45"/>
      <c r="J125" s="46"/>
      <c r="K125" s="45"/>
      <c r="L125" s="19">
        <v>90</v>
      </c>
      <c r="M125" s="19">
        <f>M123*L125%</f>
        <v>37929.870000000003</v>
      </c>
      <c r="N125" s="43"/>
      <c r="O125" s="43"/>
      <c r="P125" s="43"/>
      <c r="Q125" s="43"/>
      <c r="R125" s="43"/>
      <c r="S125" s="4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 ht="32.25" customHeight="1" thickTop="1" thickBot="1">
      <c r="A126" s="47"/>
      <c r="B126" s="45"/>
      <c r="C126" s="497" t="s">
        <v>109</v>
      </c>
      <c r="D126" s="498"/>
      <c r="E126" s="499"/>
      <c r="F126" s="43"/>
      <c r="G126" s="43"/>
      <c r="H126" s="45"/>
      <c r="I126" s="45"/>
      <c r="J126" s="46"/>
      <c r="K126" s="45"/>
      <c r="L126" s="19">
        <v>80</v>
      </c>
      <c r="M126" s="19">
        <f>M123*L126%</f>
        <v>33715.440000000002</v>
      </c>
      <c r="N126" s="43"/>
      <c r="O126" s="43"/>
      <c r="P126" s="43"/>
      <c r="Q126" s="43"/>
      <c r="R126" s="43"/>
      <c r="S126" s="4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 ht="32.25" customHeight="1" thickTop="1" thickBot="1">
      <c r="A127" s="549"/>
      <c r="B127" s="54"/>
      <c r="C127" s="50"/>
      <c r="D127" s="51"/>
      <c r="E127" s="52"/>
      <c r="F127" s="54"/>
      <c r="G127" s="54"/>
      <c r="H127" s="547"/>
      <c r="I127" s="548"/>
      <c r="J127" s="548"/>
      <c r="K127" s="548"/>
      <c r="L127" s="19">
        <v>70</v>
      </c>
      <c r="M127" s="19">
        <f>M123*L127%</f>
        <v>29501.01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32.25" customHeight="1" thickTop="1" thickBot="1">
      <c r="A128" s="549"/>
      <c r="B128" s="54"/>
      <c r="C128" s="565" t="s">
        <v>110</v>
      </c>
      <c r="D128" s="566" t="s">
        <v>111</v>
      </c>
      <c r="E128" s="567" t="s">
        <v>112</v>
      </c>
      <c r="F128" s="54"/>
      <c r="G128" s="54"/>
      <c r="H128" s="547"/>
      <c r="I128" s="548"/>
      <c r="J128" s="548"/>
      <c r="K128" s="548"/>
      <c r="L128" s="19">
        <v>60</v>
      </c>
      <c r="M128" s="19">
        <f>M123*L128%</f>
        <v>25286.58</v>
      </c>
      <c r="N128" s="54"/>
      <c r="O128" s="547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3:13" ht="32.25" customHeight="1" thickTop="1" thickBot="1">
      <c r="C129" s="568"/>
      <c r="D129" s="568">
        <f>(0.3+0.2)/2</f>
        <v>0.25</v>
      </c>
      <c r="E129" s="568"/>
      <c r="F129" s="54"/>
      <c r="G129" s="54"/>
      <c r="H129" s="547"/>
      <c r="I129" s="548"/>
      <c r="J129" s="548"/>
      <c r="K129" s="548"/>
      <c r="L129" s="19">
        <v>50</v>
      </c>
      <c r="M129" s="19">
        <f>M123*L129%</f>
        <v>21072.15</v>
      </c>
    </row>
    <row r="130" spans="3:13" ht="32.25" customHeight="1" thickTop="1" thickBot="1">
      <c r="C130" s="569"/>
      <c r="D130" s="24">
        <f>+C129*D129*1</f>
        <v>0</v>
      </c>
      <c r="E130" s="53" t="s">
        <v>113</v>
      </c>
      <c r="F130" s="54"/>
      <c r="G130" s="54"/>
      <c r="H130" s="547"/>
      <c r="I130" s="548"/>
      <c r="J130" s="548"/>
      <c r="K130" s="548"/>
      <c r="L130" s="19">
        <v>40</v>
      </c>
      <c r="M130" s="19">
        <f>M123*L130%</f>
        <v>16857.72</v>
      </c>
    </row>
    <row r="131" spans="3:13" ht="32.25" customHeight="1" thickTop="1" thickBot="1">
      <c r="C131" s="570"/>
      <c r="D131" s="571"/>
      <c r="E131" s="572"/>
      <c r="F131" s="54"/>
      <c r="G131" s="54"/>
      <c r="H131" s="547"/>
      <c r="I131" s="548"/>
      <c r="J131" s="548"/>
      <c r="K131" s="548"/>
      <c r="L131" s="19">
        <v>30</v>
      </c>
      <c r="M131" s="19">
        <f>M123*L131%</f>
        <v>12643.29</v>
      </c>
    </row>
    <row r="132" spans="3:13" ht="32.25" customHeight="1" thickTop="1" thickBot="1">
      <c r="C132" s="550"/>
      <c r="D132" s="546"/>
      <c r="E132" s="550"/>
      <c r="F132" s="54"/>
      <c r="G132" s="54"/>
      <c r="H132" s="547"/>
      <c r="I132" s="548"/>
      <c r="J132" s="548"/>
      <c r="K132" s="548"/>
      <c r="L132" s="19">
        <v>20</v>
      </c>
      <c r="M132" s="19">
        <f>M123*L132%</f>
        <v>8428.86</v>
      </c>
    </row>
    <row r="133" spans="3:13" ht="32.25" customHeight="1" thickTop="1" thickBot="1">
      <c r="C133" s="550"/>
      <c r="D133" s="546"/>
      <c r="E133" s="550"/>
      <c r="F133" s="54"/>
      <c r="G133" s="54"/>
      <c r="H133" s="547"/>
      <c r="I133" s="548"/>
      <c r="J133" s="548"/>
      <c r="K133" s="548"/>
      <c r="L133" s="19">
        <v>10</v>
      </c>
      <c r="M133" s="19">
        <f>M123*L133%</f>
        <v>4214.43</v>
      </c>
    </row>
    <row r="134" spans="3:13" ht="32.25" customHeight="1" thickTop="1">
      <c r="C134" s="550"/>
      <c r="D134" s="546"/>
      <c r="E134" s="550"/>
      <c r="F134" s="54"/>
      <c r="G134" s="54"/>
      <c r="H134" s="547"/>
      <c r="I134" s="548"/>
      <c r="J134" s="548"/>
      <c r="K134" s="548"/>
      <c r="L134" s="54"/>
      <c r="M134" s="54"/>
    </row>
    <row r="135" spans="3:13" ht="32.25" customHeight="1">
      <c r="C135" s="550"/>
      <c r="D135" s="546"/>
      <c r="E135" s="550"/>
      <c r="F135" s="54"/>
      <c r="G135" s="54"/>
      <c r="H135" s="547"/>
      <c r="I135" s="548"/>
      <c r="J135" s="548"/>
      <c r="K135" s="548"/>
      <c r="L135" s="54"/>
      <c r="M135" s="54"/>
    </row>
  </sheetData>
  <mergeCells count="20">
    <mergeCell ref="A48:Q48"/>
    <mergeCell ref="A1:O1"/>
    <mergeCell ref="P1:AD1"/>
    <mergeCell ref="A2:O2"/>
    <mergeCell ref="P2:AD2"/>
    <mergeCell ref="J24:O24"/>
    <mergeCell ref="Y24:AD24"/>
    <mergeCell ref="C26:E26"/>
    <mergeCell ref="R26:T26"/>
    <mergeCell ref="A38:O38"/>
    <mergeCell ref="A39:O39"/>
    <mergeCell ref="A40:O40"/>
    <mergeCell ref="C126:E126"/>
    <mergeCell ref="A49:Q49"/>
    <mergeCell ref="C107:E108"/>
    <mergeCell ref="C110:E111"/>
    <mergeCell ref="C113:E114"/>
    <mergeCell ref="C116:E117"/>
    <mergeCell ref="G121:J121"/>
    <mergeCell ref="M121:S121"/>
  </mergeCells>
  <printOptions horizontalCentered="1"/>
  <pageMargins left="0.39370078740157483" right="0.39370078740157483" top="0.4" bottom="0.92" header="0.27559055118110237" footer="0.31496062992125984"/>
  <pageSetup scale="70" orientation="portrait" horizontalDpi="4294967295" verticalDpi="300" r:id="rId1"/>
  <headerFooter alignWithMargins="0">
    <oddFooter>&amp;L&amp;10&amp;F / &amp;A&amp;R&amp;10&amp;P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0264-AD76-41C5-8028-EF34F6AA51A5}">
  <sheetPr transitionEvaluation="1"/>
  <dimension ref="A1:K263"/>
  <sheetViews>
    <sheetView showGridLines="0" showZeros="0" view="pageBreakPreview" topLeftCell="A37" zoomScaleSheetLayoutView="100" workbookViewId="0">
      <selection activeCell="J12" sqref="J12"/>
    </sheetView>
  </sheetViews>
  <sheetFormatPr defaultColWidth="11.5546875" defaultRowHeight="15" customHeight="1"/>
  <cols>
    <col min="1" max="1" width="8.33203125" style="31" customWidth="1"/>
    <col min="2" max="2" width="49.21875" style="32" customWidth="1"/>
    <col min="3" max="3" width="12.88671875" style="60" customWidth="1"/>
    <col min="4" max="4" width="8.109375" style="34" customWidth="1"/>
    <col min="5" max="5" width="12.88671875" style="33" customWidth="1"/>
    <col min="6" max="6" width="15.109375" style="57" customWidth="1"/>
    <col min="7" max="7" width="17.88671875" style="56" customWidth="1"/>
    <col min="8" max="8" width="20" style="25" customWidth="1"/>
    <col min="9" max="9" width="19.5546875" style="25" customWidth="1"/>
    <col min="10" max="10" width="19.88671875" style="25" customWidth="1"/>
    <col min="11" max="11" width="10.77734375" style="25" customWidth="1"/>
    <col min="12" max="16384" width="11.5546875" style="32"/>
  </cols>
  <sheetData>
    <row r="1" spans="1:8" ht="21" customHeight="1">
      <c r="A1" s="518" t="s">
        <v>114</v>
      </c>
      <c r="B1" s="518"/>
      <c r="C1" s="518"/>
      <c r="D1" s="518"/>
      <c r="E1" s="518"/>
      <c r="F1" s="518"/>
      <c r="G1" s="518"/>
    </row>
    <row r="2" spans="1:8" ht="18.75" customHeight="1">
      <c r="A2" s="518" t="s">
        <v>115</v>
      </c>
      <c r="B2" s="518"/>
      <c r="C2" s="518"/>
      <c r="D2" s="518"/>
      <c r="E2" s="518"/>
      <c r="F2" s="518"/>
      <c r="G2" s="518"/>
    </row>
    <row r="3" spans="1:8" ht="15.75" customHeight="1">
      <c r="A3" s="519" t="s">
        <v>116</v>
      </c>
      <c r="B3" s="519"/>
      <c r="C3" s="519"/>
      <c r="D3" s="519"/>
      <c r="E3" s="519"/>
      <c r="F3" s="519"/>
      <c r="G3" s="519"/>
    </row>
    <row r="4" spans="1:8" ht="15" customHeight="1">
      <c r="A4" s="117"/>
      <c r="B4" s="118"/>
      <c r="C4" s="119"/>
      <c r="D4" s="120"/>
      <c r="E4" s="121"/>
      <c r="F4" s="122"/>
      <c r="G4" s="123"/>
    </row>
    <row r="5" spans="1:8" s="125" customFormat="1" ht="18">
      <c r="A5" s="124" t="s">
        <v>117</v>
      </c>
      <c r="B5" s="118"/>
      <c r="C5" s="119"/>
      <c r="D5" s="120"/>
      <c r="E5" s="121"/>
      <c r="F5" s="122"/>
      <c r="G5" s="123"/>
    </row>
    <row r="6" spans="1:8" s="125" customFormat="1" ht="18">
      <c r="A6" s="124"/>
      <c r="B6" s="118"/>
      <c r="C6" s="119"/>
      <c r="D6" s="120"/>
      <c r="E6" s="121"/>
      <c r="F6" s="122"/>
      <c r="G6" s="123"/>
    </row>
    <row r="7" spans="1:8" ht="41.25" customHeight="1">
      <c r="A7" s="520" t="s">
        <v>118</v>
      </c>
      <c r="B7" s="520"/>
      <c r="C7" s="520"/>
      <c r="D7" s="520"/>
      <c r="E7" s="520"/>
      <c r="F7" s="520"/>
      <c r="G7" s="520"/>
    </row>
    <row r="8" spans="1:8" ht="13.5" customHeight="1" thickBot="1">
      <c r="A8" s="126"/>
      <c r="B8" s="127"/>
      <c r="C8" s="128"/>
      <c r="D8" s="127"/>
      <c r="E8" s="129"/>
      <c r="F8" s="130"/>
      <c r="G8" s="131"/>
    </row>
    <row r="9" spans="1:8" ht="18.75" customHeight="1" thickTop="1" thickBot="1">
      <c r="A9" s="26" t="s">
        <v>2</v>
      </c>
      <c r="B9" s="27" t="s">
        <v>119</v>
      </c>
      <c r="C9" s="55" t="s">
        <v>120</v>
      </c>
      <c r="D9" s="27" t="s">
        <v>121</v>
      </c>
      <c r="E9" s="28" t="s">
        <v>122</v>
      </c>
      <c r="F9" s="55" t="s">
        <v>123</v>
      </c>
      <c r="G9" s="58" t="s">
        <v>124</v>
      </c>
      <c r="H9" s="29"/>
    </row>
    <row r="10" spans="1:8" ht="22.5" customHeight="1" thickTop="1">
      <c r="A10" s="364"/>
      <c r="B10" s="365"/>
      <c r="C10" s="366"/>
      <c r="D10" s="367"/>
      <c r="E10" s="368"/>
      <c r="F10" s="369"/>
      <c r="G10" s="370"/>
      <c r="H10" s="29"/>
    </row>
    <row r="11" spans="1:8" ht="22.5" customHeight="1">
      <c r="A11" s="394">
        <v>1</v>
      </c>
      <c r="B11" s="395" t="s">
        <v>125</v>
      </c>
      <c r="C11" s="396"/>
      <c r="D11" s="397"/>
      <c r="E11" s="398"/>
      <c r="F11" s="399"/>
      <c r="G11" s="400"/>
      <c r="H11" s="29"/>
    </row>
    <row r="12" spans="1:8" ht="22.5" customHeight="1">
      <c r="A12" s="401">
        <f>+A11+0.1</f>
        <v>1.1000000000000001</v>
      </c>
      <c r="B12" s="402" t="s">
        <v>126</v>
      </c>
      <c r="C12" s="403">
        <v>6</v>
      </c>
      <c r="D12" s="397" t="s">
        <v>127</v>
      </c>
      <c r="E12" s="404">
        <v>231392</v>
      </c>
      <c r="F12" s="405">
        <f t="shared" ref="F12:F21" si="0">+C12*E12</f>
        <v>1388352</v>
      </c>
      <c r="G12" s="400"/>
      <c r="H12" s="29"/>
    </row>
    <row r="13" spans="1:8" ht="34.5" customHeight="1">
      <c r="A13" s="401">
        <f>+A12+0.1</f>
        <v>1.2</v>
      </c>
      <c r="B13" s="402" t="s">
        <v>128</v>
      </c>
      <c r="C13" s="403">
        <v>1</v>
      </c>
      <c r="D13" s="397" t="s">
        <v>129</v>
      </c>
      <c r="E13" s="404">
        <f>1400000/2</f>
        <v>700000</v>
      </c>
      <c r="F13" s="405">
        <f t="shared" si="0"/>
        <v>700000</v>
      </c>
      <c r="G13" s="400"/>
      <c r="H13" s="29"/>
    </row>
    <row r="14" spans="1:8" ht="21.75" customHeight="1">
      <c r="A14" s="401">
        <f>+A13+0.1</f>
        <v>1.3</v>
      </c>
      <c r="B14" s="402" t="s">
        <v>130</v>
      </c>
      <c r="C14" s="406">
        <v>200</v>
      </c>
      <c r="D14" s="397" t="s">
        <v>131</v>
      </c>
      <c r="E14" s="404">
        <v>3974.42</v>
      </c>
      <c r="F14" s="405">
        <f t="shared" si="0"/>
        <v>794884</v>
      </c>
      <c r="G14" s="400"/>
      <c r="H14" s="29"/>
    </row>
    <row r="15" spans="1:8" ht="21.75" customHeight="1">
      <c r="A15" s="401">
        <f>+A14+0.1</f>
        <v>1.4</v>
      </c>
      <c r="B15" s="402" t="s">
        <v>132</v>
      </c>
      <c r="C15" s="406">
        <v>1</v>
      </c>
      <c r="D15" s="397" t="s">
        <v>129</v>
      </c>
      <c r="E15" s="404">
        <v>300000</v>
      </c>
      <c r="F15" s="405">
        <f t="shared" si="0"/>
        <v>300000</v>
      </c>
      <c r="G15" s="400"/>
      <c r="H15" s="29"/>
    </row>
    <row r="16" spans="1:8" ht="31.5" customHeight="1">
      <c r="A16" s="401">
        <f>+A15+0.1</f>
        <v>1.5</v>
      </c>
      <c r="B16" s="402" t="s">
        <v>133</v>
      </c>
      <c r="C16" s="403">
        <v>6</v>
      </c>
      <c r="D16" s="397" t="s">
        <v>127</v>
      </c>
      <c r="E16" s="404">
        <f>357500*2</f>
        <v>715000</v>
      </c>
      <c r="F16" s="405">
        <f t="shared" si="0"/>
        <v>4290000</v>
      </c>
      <c r="G16" s="400">
        <f>SUM(F12:F16)</f>
        <v>7473236</v>
      </c>
      <c r="H16" s="29"/>
    </row>
    <row r="17" spans="1:9" ht="18" customHeight="1">
      <c r="A17" s="426"/>
      <c r="B17" s="423"/>
      <c r="C17" s="425"/>
      <c r="D17" s="420"/>
      <c r="E17" s="421"/>
      <c r="F17" s="424"/>
      <c r="G17" s="422"/>
      <c r="H17" s="29"/>
    </row>
    <row r="18" spans="1:9" ht="25.5" customHeight="1">
      <c r="A18" s="394">
        <v>2</v>
      </c>
      <c r="B18" s="395" t="s">
        <v>134</v>
      </c>
      <c r="C18" s="406"/>
      <c r="D18" s="397"/>
      <c r="E18" s="398"/>
      <c r="F18" s="405"/>
      <c r="G18" s="400"/>
      <c r="H18" s="29"/>
    </row>
    <row r="19" spans="1:9" ht="25.5" customHeight="1">
      <c r="A19" s="401">
        <f>+A18+0.1</f>
        <v>2.1</v>
      </c>
      <c r="B19" s="402" t="s">
        <v>135</v>
      </c>
      <c r="C19" s="406">
        <v>1</v>
      </c>
      <c r="D19" s="397" t="s">
        <v>129</v>
      </c>
      <c r="E19" s="404">
        <v>500000</v>
      </c>
      <c r="F19" s="405">
        <f t="shared" si="0"/>
        <v>500000</v>
      </c>
      <c r="G19" s="400"/>
      <c r="H19" s="29"/>
    </row>
    <row r="20" spans="1:9" ht="25.5" customHeight="1">
      <c r="A20" s="401">
        <f>+A19+0.1</f>
        <v>2.2000000000000002</v>
      </c>
      <c r="B20" s="402" t="s">
        <v>136</v>
      </c>
      <c r="C20" s="406">
        <v>1</v>
      </c>
      <c r="D20" s="397" t="s">
        <v>129</v>
      </c>
      <c r="E20" s="404">
        <v>400000</v>
      </c>
      <c r="F20" s="405">
        <f>+C20*E20</f>
        <v>400000</v>
      </c>
      <c r="G20" s="400"/>
      <c r="H20" s="29"/>
      <c r="I20" s="288"/>
    </row>
    <row r="21" spans="1:9" ht="25.5" customHeight="1">
      <c r="A21" s="401">
        <f>+A20+0.1</f>
        <v>2.2999999999999998</v>
      </c>
      <c r="B21" s="402" t="s">
        <v>137</v>
      </c>
      <c r="C21" s="406">
        <v>35</v>
      </c>
      <c r="D21" s="397" t="s">
        <v>138</v>
      </c>
      <c r="E21" s="404">
        <v>2600</v>
      </c>
      <c r="F21" s="405">
        <f t="shared" si="0"/>
        <v>91000</v>
      </c>
      <c r="G21" s="400">
        <f>SUM(F19:F21)</f>
        <v>991000</v>
      </c>
      <c r="H21" s="29"/>
      <c r="I21" s="288"/>
    </row>
    <row r="22" spans="1:9" ht="18" customHeight="1">
      <c r="A22" s="371"/>
      <c r="B22" s="372"/>
      <c r="C22" s="338"/>
      <c r="D22" s="373"/>
      <c r="E22" s="339"/>
      <c r="F22" s="374"/>
      <c r="G22" s="375"/>
      <c r="H22" s="29"/>
    </row>
    <row r="23" spans="1:9" ht="25.5" customHeight="1">
      <c r="A23" s="384">
        <v>3</v>
      </c>
      <c r="B23" s="385" t="s">
        <v>139</v>
      </c>
      <c r="C23" s="386"/>
      <c r="D23" s="387"/>
      <c r="E23" s="388"/>
      <c r="F23" s="389" t="str">
        <f t="shared" ref="F23:F57" si="1">IF(E23=0," ",(ROUND(C23*E23,2)))</f>
        <v xml:space="preserve"> </v>
      </c>
      <c r="G23" s="390"/>
      <c r="H23" s="29"/>
    </row>
    <row r="24" spans="1:9" ht="25.5" customHeight="1">
      <c r="A24" s="391">
        <f>A23+0.1</f>
        <v>3.1</v>
      </c>
      <c r="B24" s="387" t="s">
        <v>140</v>
      </c>
      <c r="C24" s="386">
        <f>'TABLA SANITARIA FASE B'!M105</f>
        <v>40484.9</v>
      </c>
      <c r="D24" s="392" t="s">
        <v>113</v>
      </c>
      <c r="E24" s="388">
        <v>262.5</v>
      </c>
      <c r="F24" s="393">
        <f t="shared" si="1"/>
        <v>10627286.25</v>
      </c>
      <c r="G24" s="390"/>
      <c r="H24" s="29"/>
    </row>
    <row r="25" spans="1:9" ht="25.5" customHeight="1">
      <c r="A25" s="391">
        <f t="shared" ref="A25:A29" si="2">A24+0.1</f>
        <v>3.2</v>
      </c>
      <c r="B25" s="387" t="s">
        <v>141</v>
      </c>
      <c r="C25" s="386">
        <f>'TABLA SANITARIA FASE B'!N105</f>
        <v>199.66</v>
      </c>
      <c r="D25" s="392" t="s">
        <v>113</v>
      </c>
      <c r="E25" s="388">
        <v>1463.87</v>
      </c>
      <c r="F25" s="393">
        <f>IF(E25=0," ",(ROUND(C25*E25,2)))</f>
        <v>292276.28000000003</v>
      </c>
      <c r="G25" s="390"/>
      <c r="H25" s="29"/>
    </row>
    <row r="26" spans="1:9" ht="25.5" customHeight="1">
      <c r="A26" s="391">
        <f t="shared" si="2"/>
        <v>3.3</v>
      </c>
      <c r="B26" s="387" t="s">
        <v>142</v>
      </c>
      <c r="C26" s="386">
        <f>'TABLA SANITARIA FASE B'!P105</f>
        <v>22264.720000000001</v>
      </c>
      <c r="D26" s="392" t="s">
        <v>113</v>
      </c>
      <c r="E26" s="388">
        <v>942.57</v>
      </c>
      <c r="F26" s="393">
        <f>IF(E26=0," ",(ROUND(C26*E26,2)))</f>
        <v>20986057.129999999</v>
      </c>
      <c r="G26" s="390"/>
      <c r="H26" s="29"/>
    </row>
    <row r="27" spans="1:9" ht="25.5" customHeight="1">
      <c r="A27" s="391">
        <f t="shared" si="2"/>
        <v>3.4</v>
      </c>
      <c r="B27" s="387" t="s">
        <v>143</v>
      </c>
      <c r="C27" s="386">
        <f>'TABLA SANITARIA FASE B'!U123</f>
        <v>3750</v>
      </c>
      <c r="D27" s="392" t="s">
        <v>113</v>
      </c>
      <c r="E27" s="388">
        <f>+'ANALISIS DE COSTOS'!F796</f>
        <v>2748.01</v>
      </c>
      <c r="F27" s="393">
        <f>IF(E27=0," ",(ROUND(C27*E27,2)))</f>
        <v>10305037.5</v>
      </c>
      <c r="G27" s="390"/>
      <c r="H27" s="29"/>
    </row>
    <row r="28" spans="1:9" ht="25.5" customHeight="1">
      <c r="A28" s="391">
        <f t="shared" si="2"/>
        <v>3.5</v>
      </c>
      <c r="B28" s="387" t="s">
        <v>144</v>
      </c>
      <c r="C28" s="386">
        <f>C26</f>
        <v>22264.720000000001</v>
      </c>
      <c r="D28" s="392" t="s">
        <v>113</v>
      </c>
      <c r="E28" s="388">
        <v>190.27</v>
      </c>
      <c r="F28" s="393">
        <f t="shared" si="1"/>
        <v>4236308.2699999996</v>
      </c>
      <c r="G28" s="390"/>
      <c r="H28" s="29"/>
    </row>
    <row r="29" spans="1:9" ht="25.5" customHeight="1">
      <c r="A29" s="391">
        <f t="shared" si="2"/>
        <v>3.6</v>
      </c>
      <c r="B29" s="387" t="s">
        <v>145</v>
      </c>
      <c r="C29" s="386">
        <f>'TABLA SANITARIA FASE B'!S105</f>
        <v>19623.150000000001</v>
      </c>
      <c r="D29" s="392" t="s">
        <v>113</v>
      </c>
      <c r="E29" s="388">
        <v>371.36</v>
      </c>
      <c r="F29" s="393">
        <f t="shared" si="1"/>
        <v>7287252.9800000004</v>
      </c>
      <c r="G29" s="390">
        <f>SUM(F24:F29)</f>
        <v>53734218.409999996</v>
      </c>
      <c r="H29" s="29"/>
    </row>
    <row r="30" spans="1:9" ht="18" customHeight="1">
      <c r="A30" s="464"/>
      <c r="B30" s="387"/>
      <c r="C30" s="386"/>
      <c r="D30" s="387"/>
      <c r="E30" s="388"/>
      <c r="F30" s="393" t="str">
        <f t="shared" si="1"/>
        <v xml:space="preserve"> </v>
      </c>
      <c r="G30" s="390"/>
      <c r="H30" s="29"/>
    </row>
    <row r="31" spans="1:9" ht="25.5" customHeight="1">
      <c r="A31" s="384">
        <v>4</v>
      </c>
      <c r="B31" s="385" t="s">
        <v>146</v>
      </c>
      <c r="C31" s="386"/>
      <c r="D31" s="387"/>
      <c r="E31" s="388"/>
      <c r="F31" s="393" t="str">
        <f t="shared" si="1"/>
        <v xml:space="preserve"> </v>
      </c>
      <c r="G31" s="390"/>
      <c r="H31" s="29"/>
    </row>
    <row r="32" spans="1:9" ht="25.5" customHeight="1">
      <c r="A32" s="391">
        <f>A31+0.1</f>
        <v>4.0999999999999996</v>
      </c>
      <c r="B32" s="387" t="s">
        <v>147</v>
      </c>
      <c r="C32" s="386">
        <f>'TABLA SANITARIA FASE B'!D100</f>
        <v>2852.35</v>
      </c>
      <c r="D32" s="392" t="s">
        <v>131</v>
      </c>
      <c r="E32" s="388">
        <v>7094.19</v>
      </c>
      <c r="F32" s="393">
        <f>IF(E32=0," ",(ROUND(C32*E32,2)))</f>
        <v>20235112.850000001</v>
      </c>
      <c r="G32" s="390">
        <f>SUM(F32:F32)</f>
        <v>20235112.850000001</v>
      </c>
      <c r="H32" s="29"/>
    </row>
    <row r="33" spans="1:8" ht="21.75" customHeight="1">
      <c r="A33" s="391"/>
      <c r="B33" s="387"/>
      <c r="C33" s="386"/>
      <c r="D33" s="392"/>
      <c r="E33" s="388"/>
      <c r="F33" s="393"/>
      <c r="G33" s="390"/>
      <c r="H33" s="29"/>
    </row>
    <row r="34" spans="1:8" ht="21.75" customHeight="1">
      <c r="A34" s="384">
        <v>5</v>
      </c>
      <c r="B34" s="385" t="s">
        <v>148</v>
      </c>
      <c r="C34" s="386"/>
      <c r="D34" s="387"/>
      <c r="E34" s="290"/>
      <c r="F34" s="291" t="str">
        <f>IF(E34=0," ",(ROUND(C34*E34,2)))</f>
        <v xml:space="preserve"> </v>
      </c>
      <c r="G34" s="295"/>
      <c r="H34" s="29"/>
    </row>
    <row r="35" spans="1:8" ht="21.75" customHeight="1" thickBot="1">
      <c r="A35" s="411">
        <f>A34+0.1</f>
        <v>5.0999999999999996</v>
      </c>
      <c r="B35" s="412" t="s">
        <v>147</v>
      </c>
      <c r="C35" s="413">
        <f>+C32</f>
        <v>2852.35</v>
      </c>
      <c r="D35" s="414" t="s">
        <v>131</v>
      </c>
      <c r="E35" s="435">
        <v>51.31</v>
      </c>
      <c r="F35" s="437">
        <f>IF(E35=0," ",(ROUND(C35*E35,2)))</f>
        <v>146354.07999999999</v>
      </c>
      <c r="G35" s="462">
        <f>SUM(F35:F35)</f>
        <v>146354.07999999999</v>
      </c>
      <c r="H35" s="29"/>
    </row>
    <row r="36" spans="1:8" ht="21.75" customHeight="1">
      <c r="A36" s="361"/>
      <c r="B36" s="362"/>
      <c r="C36" s="296"/>
      <c r="D36" s="297"/>
      <c r="E36" s="363"/>
      <c r="F36" s="337"/>
      <c r="G36" s="298"/>
      <c r="H36" s="29"/>
    </row>
    <row r="37" spans="1:8" ht="62.25" customHeight="1">
      <c r="A37" s="384">
        <v>6</v>
      </c>
      <c r="B37" s="385" t="s">
        <v>149</v>
      </c>
      <c r="C37" s="386">
        <v>500</v>
      </c>
      <c r="D37" s="407" t="s">
        <v>131</v>
      </c>
      <c r="E37" s="408"/>
      <c r="F37" s="409"/>
      <c r="G37" s="410"/>
      <c r="H37" s="29"/>
    </row>
    <row r="38" spans="1:8" ht="21.75" customHeight="1">
      <c r="A38" s="391">
        <f>+A37+0.1</f>
        <v>6.1</v>
      </c>
      <c r="B38" s="387" t="s">
        <v>150</v>
      </c>
      <c r="C38" s="386">
        <f>C37*3.5*0.05</f>
        <v>87.5</v>
      </c>
      <c r="D38" s="392" t="s">
        <v>113</v>
      </c>
      <c r="E38" s="388">
        <v>5896.31</v>
      </c>
      <c r="F38" s="393">
        <f>+E38*C38</f>
        <v>515927.13</v>
      </c>
      <c r="G38" s="410"/>
      <c r="H38" s="29"/>
    </row>
    <row r="39" spans="1:8" ht="21.75" customHeight="1">
      <c r="A39" s="391">
        <f t="shared" ref="A39:A45" si="3">+A38+0.1</f>
        <v>6.2</v>
      </c>
      <c r="B39" s="387" t="s">
        <v>151</v>
      </c>
      <c r="C39" s="386">
        <f>C37*3.5*0.3</f>
        <v>525</v>
      </c>
      <c r="D39" s="392" t="s">
        <v>113</v>
      </c>
      <c r="E39" s="388">
        <f>E49</f>
        <v>17718.77</v>
      </c>
      <c r="F39" s="393">
        <f t="shared" ref="F39:F45" si="4">+C39*E39</f>
        <v>9302354.25</v>
      </c>
      <c r="G39" s="410"/>
      <c r="H39" s="29"/>
    </row>
    <row r="40" spans="1:8" ht="21.75" customHeight="1">
      <c r="A40" s="391">
        <f t="shared" si="3"/>
        <v>6.3</v>
      </c>
      <c r="B40" s="387" t="s">
        <v>152</v>
      </c>
      <c r="C40" s="386">
        <f>+(C37*2*0.25)*2</f>
        <v>500</v>
      </c>
      <c r="D40" s="392" t="s">
        <v>113</v>
      </c>
      <c r="E40" s="388">
        <f>E50</f>
        <v>28293.57</v>
      </c>
      <c r="F40" s="393">
        <f t="shared" si="4"/>
        <v>14146785</v>
      </c>
      <c r="G40" s="410"/>
      <c r="H40" s="29"/>
    </row>
    <row r="41" spans="1:8" ht="21.75" customHeight="1">
      <c r="A41" s="415">
        <f t="shared" si="3"/>
        <v>6.4</v>
      </c>
      <c r="B41" s="416" t="s">
        <v>153</v>
      </c>
      <c r="C41" s="417">
        <f>+C37*3*0.2</f>
        <v>300</v>
      </c>
      <c r="D41" s="418" t="s">
        <v>113</v>
      </c>
      <c r="E41" s="436">
        <f>E51</f>
        <v>23959.119999999999</v>
      </c>
      <c r="F41" s="438">
        <f t="shared" si="4"/>
        <v>7187736</v>
      </c>
      <c r="G41" s="439"/>
      <c r="H41" s="29"/>
    </row>
    <row r="42" spans="1:8" ht="21.75" customHeight="1">
      <c r="A42" s="391">
        <f t="shared" si="3"/>
        <v>6.5</v>
      </c>
      <c r="B42" s="387" t="s">
        <v>154</v>
      </c>
      <c r="C42" s="386">
        <f>+C37*2*2</f>
        <v>2000</v>
      </c>
      <c r="D42" s="392" t="s">
        <v>155</v>
      </c>
      <c r="E42" s="388">
        <v>405.1</v>
      </c>
      <c r="F42" s="393">
        <f t="shared" si="4"/>
        <v>810200</v>
      </c>
      <c r="G42" s="410"/>
      <c r="H42" s="29"/>
    </row>
    <row r="43" spans="1:8" ht="21.75" customHeight="1">
      <c r="A43" s="391">
        <f t="shared" si="3"/>
        <v>6.6</v>
      </c>
      <c r="B43" s="387" t="s">
        <v>156</v>
      </c>
      <c r="C43" s="386">
        <f>+C37*2</f>
        <v>1000</v>
      </c>
      <c r="D43" s="392" t="s">
        <v>131</v>
      </c>
      <c r="E43" s="388">
        <v>112.44</v>
      </c>
      <c r="F43" s="393">
        <f t="shared" si="4"/>
        <v>112440</v>
      </c>
      <c r="G43" s="410"/>
      <c r="H43" s="29"/>
    </row>
    <row r="44" spans="1:8" ht="21.75" customHeight="1">
      <c r="A44" s="391">
        <f t="shared" si="3"/>
        <v>6.7</v>
      </c>
      <c r="B44" s="387" t="s">
        <v>157</v>
      </c>
      <c r="C44" s="386">
        <f>+C37*(2.5)</f>
        <v>1250</v>
      </c>
      <c r="D44" s="392" t="s">
        <v>155</v>
      </c>
      <c r="E44" s="388">
        <v>506.22</v>
      </c>
      <c r="F44" s="393">
        <f t="shared" si="4"/>
        <v>632775</v>
      </c>
      <c r="G44" s="410"/>
      <c r="H44" s="29"/>
    </row>
    <row r="45" spans="1:8" ht="21.75" customHeight="1">
      <c r="A45" s="391">
        <f t="shared" si="3"/>
        <v>6.8</v>
      </c>
      <c r="B45" s="387" t="s">
        <v>158</v>
      </c>
      <c r="C45" s="386">
        <f>+C37*3</f>
        <v>1500</v>
      </c>
      <c r="D45" s="392" t="s">
        <v>155</v>
      </c>
      <c r="E45" s="388">
        <f>+E44</f>
        <v>506.22</v>
      </c>
      <c r="F45" s="393">
        <f t="shared" si="4"/>
        <v>759330</v>
      </c>
      <c r="G45" s="410">
        <f>SUM(F38:F45)</f>
        <v>33467547.379999999</v>
      </c>
      <c r="H45" s="29"/>
    </row>
    <row r="46" spans="1:8" ht="21.75" customHeight="1">
      <c r="A46" s="361"/>
      <c r="B46" s="362"/>
      <c r="C46" s="296"/>
      <c r="D46" s="297"/>
      <c r="E46" s="363"/>
      <c r="F46" s="431"/>
      <c r="G46" s="298"/>
      <c r="H46" s="29"/>
    </row>
    <row r="47" spans="1:8" ht="77.25" customHeight="1">
      <c r="A47" s="384">
        <v>7</v>
      </c>
      <c r="B47" s="385" t="s">
        <v>159</v>
      </c>
      <c r="C47" s="386">
        <v>1000</v>
      </c>
      <c r="D47" s="407" t="s">
        <v>131</v>
      </c>
      <c r="E47" s="408"/>
      <c r="F47" s="409"/>
      <c r="G47" s="410"/>
      <c r="H47" s="29"/>
    </row>
    <row r="48" spans="1:8" ht="25.5" customHeight="1">
      <c r="A48" s="391">
        <f>+A47+0.1</f>
        <v>7.1</v>
      </c>
      <c r="B48" s="387" t="s">
        <v>150</v>
      </c>
      <c r="C48" s="386">
        <f>C47*5.25*0.05</f>
        <v>262.5</v>
      </c>
      <c r="D48" s="392" t="s">
        <v>113</v>
      </c>
      <c r="E48" s="388">
        <v>5896.31</v>
      </c>
      <c r="F48" s="393">
        <f>+E48*C48</f>
        <v>1547781.38</v>
      </c>
      <c r="G48" s="375"/>
      <c r="H48" s="29"/>
    </row>
    <row r="49" spans="1:8" ht="31.5" customHeight="1">
      <c r="A49" s="391">
        <f t="shared" ref="A49:A55" si="5">+A48+0.1</f>
        <v>7.2</v>
      </c>
      <c r="B49" s="387" t="s">
        <v>151</v>
      </c>
      <c r="C49" s="386">
        <f>C47*5.25*0.3</f>
        <v>1575</v>
      </c>
      <c r="D49" s="392" t="s">
        <v>113</v>
      </c>
      <c r="E49" s="388">
        <v>17718.77</v>
      </c>
      <c r="F49" s="393">
        <f t="shared" ref="F49:F55" si="6">+C49*E49</f>
        <v>27907062.75</v>
      </c>
      <c r="G49" s="410"/>
      <c r="H49" s="29"/>
    </row>
    <row r="50" spans="1:8" ht="25.5" customHeight="1">
      <c r="A50" s="391">
        <f t="shared" si="5"/>
        <v>7.3</v>
      </c>
      <c r="B50" s="387" t="s">
        <v>152</v>
      </c>
      <c r="C50" s="386">
        <f>+(C47*2*0.25)*3</f>
        <v>1500</v>
      </c>
      <c r="D50" s="392" t="s">
        <v>113</v>
      </c>
      <c r="E50" s="388">
        <v>28293.57</v>
      </c>
      <c r="F50" s="393">
        <f t="shared" si="6"/>
        <v>42440355</v>
      </c>
      <c r="G50" s="410"/>
      <c r="H50" s="29"/>
    </row>
    <row r="51" spans="1:8" ht="25.5" customHeight="1">
      <c r="A51" s="415">
        <f t="shared" si="5"/>
        <v>7.4</v>
      </c>
      <c r="B51" s="416" t="s">
        <v>153</v>
      </c>
      <c r="C51" s="417">
        <f>+C47*4.75*0.2</f>
        <v>950</v>
      </c>
      <c r="D51" s="418" t="s">
        <v>113</v>
      </c>
      <c r="E51" s="388">
        <v>23959.119999999999</v>
      </c>
      <c r="F51" s="438">
        <f t="shared" si="6"/>
        <v>22761164</v>
      </c>
      <c r="G51" s="439"/>
    </row>
    <row r="52" spans="1:8" ht="25.5" customHeight="1">
      <c r="A52" s="391">
        <f t="shared" si="5"/>
        <v>7.5</v>
      </c>
      <c r="B52" s="387" t="s">
        <v>154</v>
      </c>
      <c r="C52" s="386">
        <f>+C47*2*4</f>
        <v>8000</v>
      </c>
      <c r="D52" s="392" t="s">
        <v>155</v>
      </c>
      <c r="E52" s="388">
        <v>405.1</v>
      </c>
      <c r="F52" s="393">
        <f t="shared" si="6"/>
        <v>3240800</v>
      </c>
      <c r="G52" s="410"/>
    </row>
    <row r="53" spans="1:8" ht="25.5" customHeight="1">
      <c r="A53" s="391">
        <f t="shared" si="5"/>
        <v>7.6</v>
      </c>
      <c r="B53" s="387" t="s">
        <v>156</v>
      </c>
      <c r="C53" s="386">
        <f>+C47*4</f>
        <v>4000</v>
      </c>
      <c r="D53" s="392" t="s">
        <v>131</v>
      </c>
      <c r="E53" s="388">
        <v>112.44</v>
      </c>
      <c r="F53" s="393">
        <f t="shared" si="6"/>
        <v>449760</v>
      </c>
      <c r="G53" s="410"/>
    </row>
    <row r="54" spans="1:8" ht="25.5" customHeight="1">
      <c r="A54" s="391">
        <f t="shared" si="5"/>
        <v>7.7</v>
      </c>
      <c r="B54" s="387" t="s">
        <v>157</v>
      </c>
      <c r="C54" s="386">
        <f>+C47*(4)</f>
        <v>4000</v>
      </c>
      <c r="D54" s="392" t="s">
        <v>155</v>
      </c>
      <c r="E54" s="388">
        <v>506.22</v>
      </c>
      <c r="F54" s="393">
        <f t="shared" si="6"/>
        <v>2024880</v>
      </c>
      <c r="G54" s="410"/>
    </row>
    <row r="55" spans="1:8" ht="25.5" customHeight="1">
      <c r="A55" s="391">
        <f t="shared" si="5"/>
        <v>7.8</v>
      </c>
      <c r="B55" s="387" t="s">
        <v>158</v>
      </c>
      <c r="C55" s="386">
        <f>+C47*4.75</f>
        <v>4750</v>
      </c>
      <c r="D55" s="392" t="s">
        <v>155</v>
      </c>
      <c r="E55" s="388">
        <v>506.22</v>
      </c>
      <c r="F55" s="393">
        <f t="shared" si="6"/>
        <v>2404545</v>
      </c>
      <c r="G55" s="410">
        <f>SUM(F48:F55)</f>
        <v>102776348.13</v>
      </c>
    </row>
    <row r="56" spans="1:8" ht="25.5" customHeight="1">
      <c r="A56" s="391"/>
      <c r="B56" s="387"/>
      <c r="C56" s="386"/>
      <c r="D56" s="392"/>
      <c r="E56" s="290"/>
      <c r="F56" s="431"/>
      <c r="G56" s="375"/>
    </row>
    <row r="57" spans="1:8" ht="25.5" customHeight="1">
      <c r="A57" s="384">
        <v>8</v>
      </c>
      <c r="B57" s="385" t="s">
        <v>160</v>
      </c>
      <c r="C57" s="386"/>
      <c r="D57" s="392"/>
      <c r="E57" s="388"/>
      <c r="F57" s="389" t="str">
        <f t="shared" si="1"/>
        <v xml:space="preserve"> </v>
      </c>
      <c r="G57" s="295"/>
    </row>
    <row r="58" spans="1:8" s="25" customFormat="1" ht="25.5" customHeight="1">
      <c r="A58" s="440">
        <v>8.1</v>
      </c>
      <c r="B58" s="385" t="s">
        <v>161</v>
      </c>
      <c r="C58" s="386"/>
      <c r="D58" s="392"/>
      <c r="E58" s="388"/>
      <c r="F58" s="389"/>
      <c r="G58" s="390"/>
    </row>
    <row r="59" spans="1:8" s="25" customFormat="1" ht="25.5" customHeight="1">
      <c r="A59" s="442" t="s">
        <v>162</v>
      </c>
      <c r="B59" s="387" t="s">
        <v>163</v>
      </c>
      <c r="C59" s="443">
        <f>112/2</f>
        <v>56</v>
      </c>
      <c r="D59" s="392" t="s">
        <v>121</v>
      </c>
      <c r="E59" s="388">
        <f>122180.97*1.1</f>
        <v>134399.07</v>
      </c>
      <c r="F59" s="393">
        <f>IF(E59=0," ",(ROUND(C59*E59,2)))</f>
        <v>7526347.9199999999</v>
      </c>
      <c r="G59" s="390"/>
    </row>
    <row r="60" spans="1:8" s="25" customFormat="1" ht="25.5" customHeight="1">
      <c r="A60" s="442" t="s">
        <v>164</v>
      </c>
      <c r="B60" s="387" t="s">
        <v>165</v>
      </c>
      <c r="C60" s="443">
        <v>56</v>
      </c>
      <c r="D60" s="392" t="s">
        <v>121</v>
      </c>
      <c r="E60" s="388">
        <f>149161.04*1.1</f>
        <v>164077.14000000001</v>
      </c>
      <c r="F60" s="393">
        <f>IF(E60=0," ",(ROUND(C60*E60,2)))</f>
        <v>9188319.8399999999</v>
      </c>
      <c r="G60" s="390"/>
    </row>
    <row r="61" spans="1:8" s="25" customFormat="1" ht="19.5" customHeight="1">
      <c r="A61" s="458">
        <v>8.1999999999999993</v>
      </c>
      <c r="B61" s="459" t="s">
        <v>166</v>
      </c>
      <c r="C61" s="417"/>
      <c r="D61" s="418"/>
      <c r="E61" s="436"/>
      <c r="F61" s="460"/>
      <c r="G61" s="461"/>
    </row>
    <row r="62" spans="1:8" s="25" customFormat="1" ht="19.5" customHeight="1">
      <c r="A62" s="444" t="s">
        <v>167</v>
      </c>
      <c r="B62" s="385" t="s">
        <v>168</v>
      </c>
      <c r="C62" s="386"/>
      <c r="D62" s="392"/>
      <c r="E62" s="388"/>
      <c r="F62" s="389"/>
      <c r="G62" s="390"/>
    </row>
    <row r="63" spans="1:8" s="25" customFormat="1" ht="19.5" customHeight="1">
      <c r="A63" s="442" t="s">
        <v>169</v>
      </c>
      <c r="B63" s="387" t="s">
        <v>140</v>
      </c>
      <c r="C63" s="386">
        <f>+(0.6+0.25+1.5+2.12+1.5+0.25+0.6+0.6)*(0.6+0.25+1.25+0.25+0.6)*(1.81+0.81+1.05+1)</f>
        <v>102.22</v>
      </c>
      <c r="D63" s="392" t="s">
        <v>113</v>
      </c>
      <c r="E63" s="388">
        <v>262.5</v>
      </c>
      <c r="F63" s="393">
        <f t="shared" ref="F63" si="7">IF(E63=0," ",(ROUND(C63*E63,2)))</f>
        <v>26832.75</v>
      </c>
      <c r="G63" s="390"/>
    </row>
    <row r="64" spans="1:8" s="25" customFormat="1" ht="21" customHeight="1">
      <c r="A64" s="442" t="s">
        <v>170</v>
      </c>
      <c r="B64" s="387" t="s">
        <v>171</v>
      </c>
      <c r="C64" s="386">
        <f>+((0.6+0.25+1.5+2.12+1.5+0.25+0.6+0.6)*(0.6+0.25+1.25+0.25+0.6)*(1.81+0.81+1.05+1))-((((0.6+0.25+1.5+2.12+1.5+0.6)+(2.12+0.25+0.25)/2)*(1.81+0.81+1.05+1))*(0.25+1.25+0.25))</f>
        <v>37.82</v>
      </c>
      <c r="D64" s="392" t="s">
        <v>113</v>
      </c>
      <c r="E64" s="388">
        <v>942.57</v>
      </c>
      <c r="F64" s="393">
        <f>IF(E64=0," ",(ROUND(C64*E64,2)))</f>
        <v>35648</v>
      </c>
      <c r="G64" s="390"/>
    </row>
    <row r="65" spans="1:8" s="25" customFormat="1" ht="33" customHeight="1" thickBot="1">
      <c r="A65" s="484" t="s">
        <v>172</v>
      </c>
      <c r="B65" s="485" t="s">
        <v>144</v>
      </c>
      <c r="C65" s="486">
        <f>+C64</f>
        <v>37.82</v>
      </c>
      <c r="D65" s="487" t="s">
        <v>113</v>
      </c>
      <c r="E65" s="488">
        <v>190.27</v>
      </c>
      <c r="F65" s="489">
        <f t="shared" ref="F65" si="8">IF(E65=0," ",(ROUND(C65*E65,2)))</f>
        <v>7196.01</v>
      </c>
      <c r="G65" s="490"/>
    </row>
    <row r="66" spans="1:8" s="25" customFormat="1" ht="20.25" customHeight="1" thickTop="1">
      <c r="A66" s="445" t="s">
        <v>173</v>
      </c>
      <c r="B66" s="446" t="s">
        <v>174</v>
      </c>
      <c r="C66" s="447"/>
      <c r="D66" s="448"/>
      <c r="E66" s="436"/>
      <c r="F66" s="438"/>
      <c r="G66" s="450"/>
    </row>
    <row r="67" spans="1:8" s="25" customFormat="1" ht="20.25" customHeight="1">
      <c r="A67" s="451" t="s">
        <v>175</v>
      </c>
      <c r="B67" s="452" t="s">
        <v>150</v>
      </c>
      <c r="C67" s="386">
        <f>+((((0.6+0.25+1.5+2.12+1.5+0.6)+(2.12+0.25+0.25)/2)*(0.1))*(0.25+1.25+0.25))</f>
        <v>1.38</v>
      </c>
      <c r="D67" s="453" t="s">
        <v>113</v>
      </c>
      <c r="E67" s="388">
        <v>5896.31</v>
      </c>
      <c r="F67" s="393">
        <f t="shared" ref="F67:F71" si="9">+E67*C67</f>
        <v>8136.91</v>
      </c>
      <c r="G67" s="454"/>
    </row>
    <row r="68" spans="1:8" s="25" customFormat="1" ht="20.25" customHeight="1">
      <c r="A68" s="451" t="s">
        <v>176</v>
      </c>
      <c r="B68" s="452" t="s">
        <v>177</v>
      </c>
      <c r="C68" s="386">
        <f>+((((0.6+0.25+1.5+2.12+1.5+0.6)+(2.12+0.25+0.25)/2)*(0.25))*(0.25+1.25+0.25))</f>
        <v>3.45</v>
      </c>
      <c r="D68" s="453" t="s">
        <v>113</v>
      </c>
      <c r="E68" s="388">
        <v>21662.97</v>
      </c>
      <c r="F68" s="393">
        <f t="shared" si="9"/>
        <v>74737.25</v>
      </c>
      <c r="G68" s="454"/>
      <c r="H68" s="288"/>
    </row>
    <row r="69" spans="1:8" s="25" customFormat="1" ht="20.25" customHeight="1">
      <c r="A69" s="451" t="s">
        <v>178</v>
      </c>
      <c r="B69" s="452" t="s">
        <v>179</v>
      </c>
      <c r="C69" s="386">
        <f>+(((1.84*1.5)/2)*0.25+((1.84*1.5)/2)*0.25)+(1.75*1.5*2)+(1*1.5)+(2.12*2.65)+(0.8*(0.6+0.25+1.5+2.12+1.5+0.25+0.6))</f>
        <v>18.510000000000002</v>
      </c>
      <c r="D69" s="453" t="s">
        <v>113</v>
      </c>
      <c r="E69" s="388">
        <v>55884.27</v>
      </c>
      <c r="F69" s="393">
        <f t="shared" si="9"/>
        <v>1034417.84</v>
      </c>
      <c r="G69" s="454"/>
    </row>
    <row r="70" spans="1:8" s="25" customFormat="1" ht="20.25" customHeight="1">
      <c r="A70" s="451" t="s">
        <v>180</v>
      </c>
      <c r="B70" s="455" t="s">
        <v>181</v>
      </c>
      <c r="C70" s="417">
        <f>+(0.8*(2.12+0.25+0.25)*0.25)</f>
        <v>0.52</v>
      </c>
      <c r="D70" s="456" t="s">
        <v>113</v>
      </c>
      <c r="E70" s="436">
        <v>27060.07</v>
      </c>
      <c r="F70" s="438">
        <f t="shared" si="9"/>
        <v>14071.24</v>
      </c>
      <c r="G70" s="450"/>
    </row>
    <row r="71" spans="1:8" s="25" customFormat="1" ht="20.25" customHeight="1">
      <c r="A71" s="451" t="s">
        <v>182</v>
      </c>
      <c r="B71" s="455" t="s">
        <v>183</v>
      </c>
      <c r="C71" s="386">
        <f>+(0.4*(0.6+0.25+1.5+2.12+1.5+0.25+0.6)*0.25)</f>
        <v>0.68</v>
      </c>
      <c r="D71" s="456" t="s">
        <v>113</v>
      </c>
      <c r="E71" s="388">
        <v>34369.870000000003</v>
      </c>
      <c r="F71" s="393">
        <f t="shared" si="9"/>
        <v>23371.51</v>
      </c>
      <c r="G71" s="463"/>
    </row>
    <row r="72" spans="1:8" s="25" customFormat="1" ht="20.25" customHeight="1">
      <c r="A72" s="440">
        <v>8.5</v>
      </c>
      <c r="B72" s="385" t="s">
        <v>184</v>
      </c>
      <c r="C72" s="386">
        <v>12</v>
      </c>
      <c r="D72" s="392" t="s">
        <v>121</v>
      </c>
      <c r="E72" s="388">
        <v>207353.19</v>
      </c>
      <c r="F72" s="393">
        <f t="shared" ref="F72" si="10">IF(E72=0," ",(ROUND(C72*E72,2)))</f>
        <v>2488238.2799999998</v>
      </c>
      <c r="G72" s="390"/>
    </row>
    <row r="73" spans="1:8" s="25" customFormat="1" ht="37.5" customHeight="1">
      <c r="A73" s="440">
        <f>+A72+0.1</f>
        <v>8.6</v>
      </c>
      <c r="B73" s="385" t="s">
        <v>185</v>
      </c>
      <c r="C73" s="386">
        <f>150/2</f>
        <v>75</v>
      </c>
      <c r="D73" s="392" t="s">
        <v>131</v>
      </c>
      <c r="E73" s="388">
        <v>886.84</v>
      </c>
      <c r="F73" s="393">
        <f>+C73*E73</f>
        <v>66513</v>
      </c>
      <c r="G73" s="390"/>
    </row>
    <row r="74" spans="1:8" s="25" customFormat="1" ht="42.75" customHeight="1">
      <c r="A74" s="440">
        <f>+A73+0.1</f>
        <v>8.6999999999999993</v>
      </c>
      <c r="B74" s="385" t="s">
        <v>186</v>
      </c>
      <c r="C74" s="386">
        <v>30</v>
      </c>
      <c r="D74" s="392" t="s">
        <v>187</v>
      </c>
      <c r="E74" s="388">
        <v>22153.62</v>
      </c>
      <c r="F74" s="393">
        <f>+C74*E74</f>
        <v>664608.6</v>
      </c>
      <c r="G74" s="390">
        <f>SUM(F58:F74)</f>
        <v>21158439.149999999</v>
      </c>
    </row>
    <row r="75" spans="1:8" s="25" customFormat="1" ht="20.25" customHeight="1">
      <c r="A75" s="428"/>
      <c r="B75" s="429"/>
      <c r="C75" s="296"/>
      <c r="D75" s="297"/>
      <c r="E75" s="363"/>
      <c r="F75" s="430"/>
      <c r="G75" s="298"/>
    </row>
    <row r="76" spans="1:8" s="25" customFormat="1" ht="23.25" customHeight="1">
      <c r="A76" s="384">
        <v>9</v>
      </c>
      <c r="B76" s="385" t="s">
        <v>188</v>
      </c>
      <c r="C76" s="386"/>
      <c r="D76" s="392"/>
      <c r="E76" s="388"/>
      <c r="F76" s="389" t="str">
        <f>IF(E76=0," ",(ROUND(C76*E76,2)))</f>
        <v xml:space="preserve"> </v>
      </c>
      <c r="G76" s="390"/>
    </row>
    <row r="77" spans="1:8" s="25" customFormat="1" ht="23.25" customHeight="1">
      <c r="A77" s="391">
        <f>A76+0.1</f>
        <v>9.1</v>
      </c>
      <c r="B77" s="387" t="s">
        <v>189</v>
      </c>
      <c r="C77" s="434">
        <f>360/2</f>
        <v>180</v>
      </c>
      <c r="D77" s="392" t="s">
        <v>121</v>
      </c>
      <c r="E77" s="388">
        <v>19724.3</v>
      </c>
      <c r="F77" s="393">
        <f>IF(E77=0," ",(ROUND(C77*E77,2)))</f>
        <v>3550374</v>
      </c>
      <c r="G77" s="390">
        <f>SUM(F77)</f>
        <v>3550374</v>
      </c>
    </row>
    <row r="78" spans="1:8" s="25" customFormat="1" ht="19.5" customHeight="1">
      <c r="A78" s="491"/>
      <c r="B78" s="492"/>
      <c r="C78" s="493"/>
      <c r="D78" s="494"/>
      <c r="E78" s="495"/>
      <c r="F78" s="431"/>
      <c r="G78" s="496"/>
    </row>
    <row r="79" spans="1:8" s="25" customFormat="1" ht="20.25" customHeight="1">
      <c r="A79" s="476">
        <v>10</v>
      </c>
      <c r="B79" s="459" t="s">
        <v>190</v>
      </c>
      <c r="C79" s="417"/>
      <c r="D79" s="418"/>
      <c r="E79" s="363"/>
      <c r="F79" s="430" t="str">
        <f>IF(E79=0," ",(ROUND(C79*E79,2)))</f>
        <v xml:space="preserve"> </v>
      </c>
      <c r="G79" s="298"/>
    </row>
    <row r="80" spans="1:8" s="25" customFormat="1" ht="21" customHeight="1">
      <c r="A80" s="477">
        <v>10.1</v>
      </c>
      <c r="B80" s="478" t="str">
        <f>+B35</f>
        <v>Ø12" PVC - SDR - 32.5</v>
      </c>
      <c r="C80" s="479">
        <f>+C32</f>
        <v>2852.35</v>
      </c>
      <c r="D80" s="480" t="s">
        <v>131</v>
      </c>
      <c r="E80" s="481">
        <v>23.63</v>
      </c>
      <c r="F80" s="482">
        <f>IF(E80=0," ",(ROUND(C80*E80,2)))</f>
        <v>67401.03</v>
      </c>
      <c r="G80" s="483">
        <f>SUM(F80:F80)</f>
        <v>67401.03</v>
      </c>
    </row>
    <row r="81" spans="1:7" s="25" customFormat="1" ht="20.25" customHeight="1">
      <c r="A81" s="361"/>
      <c r="B81" s="362"/>
      <c r="C81" s="296"/>
      <c r="D81" s="297"/>
      <c r="E81" s="363"/>
      <c r="F81" s="337"/>
      <c r="G81" s="298"/>
    </row>
    <row r="82" spans="1:7" s="25" customFormat="1" ht="20.25" customHeight="1">
      <c r="A82" s="384">
        <v>11</v>
      </c>
      <c r="B82" s="385" t="s">
        <v>191</v>
      </c>
      <c r="C82" s="386"/>
      <c r="D82" s="392"/>
      <c r="E82" s="388"/>
      <c r="F82" s="393" t="str">
        <f t="shared" ref="F82:F86" si="11">IF(E82=0," ",(ROUND(C82*E82,2)))</f>
        <v xml:space="preserve"> </v>
      </c>
      <c r="G82" s="390"/>
    </row>
    <row r="83" spans="1:7" s="25" customFormat="1" ht="19.5" customHeight="1">
      <c r="A83" s="391">
        <f>A82+0.1</f>
        <v>11.1</v>
      </c>
      <c r="B83" s="387" t="s">
        <v>192</v>
      </c>
      <c r="C83" s="386">
        <v>1</v>
      </c>
      <c r="D83" s="392" t="s">
        <v>129</v>
      </c>
      <c r="E83" s="388">
        <f>+(648936.35*35)</f>
        <v>22712772.25</v>
      </c>
      <c r="F83" s="393">
        <f t="shared" si="11"/>
        <v>22712772.25</v>
      </c>
      <c r="G83" s="390"/>
    </row>
    <row r="84" spans="1:7" s="25" customFormat="1" ht="19.5" customHeight="1">
      <c r="A84" s="391">
        <f t="shared" ref="A84:A86" si="12">A83+0.1</f>
        <v>11.2</v>
      </c>
      <c r="B84" s="387" t="s">
        <v>193</v>
      </c>
      <c r="C84" s="386">
        <v>300</v>
      </c>
      <c r="D84" s="392" t="s">
        <v>155</v>
      </c>
      <c r="E84" s="388">
        <v>1148.19</v>
      </c>
      <c r="F84" s="393">
        <f t="shared" si="11"/>
        <v>344457</v>
      </c>
      <c r="G84" s="390"/>
    </row>
    <row r="85" spans="1:7" s="25" customFormat="1" ht="19.5" customHeight="1">
      <c r="A85" s="391">
        <f t="shared" si="12"/>
        <v>11.3</v>
      </c>
      <c r="B85" s="387" t="s">
        <v>194</v>
      </c>
      <c r="C85" s="386">
        <f>+C84</f>
        <v>300</v>
      </c>
      <c r="D85" s="392" t="s">
        <v>155</v>
      </c>
      <c r="E85" s="388">
        <v>985.66</v>
      </c>
      <c r="F85" s="393">
        <f t="shared" si="11"/>
        <v>295698</v>
      </c>
      <c r="G85" s="390"/>
    </row>
    <row r="86" spans="1:7" s="25" customFormat="1" ht="19.5" customHeight="1">
      <c r="A86" s="391">
        <f t="shared" si="12"/>
        <v>11.4</v>
      </c>
      <c r="B86" s="387" t="s">
        <v>195</v>
      </c>
      <c r="C86" s="386">
        <f>2000*3.5</f>
        <v>7000</v>
      </c>
      <c r="D86" s="392" t="s">
        <v>155</v>
      </c>
      <c r="E86" s="388">
        <v>1358.78</v>
      </c>
      <c r="F86" s="393">
        <f t="shared" si="11"/>
        <v>9511460</v>
      </c>
      <c r="G86" s="390">
        <f>SUM(F83:F86)</f>
        <v>32864387.25</v>
      </c>
    </row>
    <row r="87" spans="1:7" s="25" customFormat="1" ht="19.5" customHeight="1">
      <c r="A87" s="294"/>
      <c r="B87" s="292"/>
      <c r="C87" s="289"/>
      <c r="D87" s="293"/>
      <c r="E87" s="290"/>
      <c r="F87" s="427"/>
      <c r="G87" s="295"/>
    </row>
    <row r="88" spans="1:7" s="25" customFormat="1" ht="34.5" customHeight="1">
      <c r="A88" s="384">
        <v>12</v>
      </c>
      <c r="B88" s="385" t="s">
        <v>196</v>
      </c>
      <c r="C88" s="386">
        <v>1</v>
      </c>
      <c r="D88" s="419" t="s">
        <v>129</v>
      </c>
      <c r="E88" s="388">
        <v>125000</v>
      </c>
      <c r="F88" s="393">
        <f>IF(E88=0," ",(ROUND(C88*E88,2)))</f>
        <v>125000</v>
      </c>
      <c r="G88" s="390">
        <f>+F88</f>
        <v>125000</v>
      </c>
    </row>
    <row r="89" spans="1:7" s="25" customFormat="1" ht="19.5" customHeight="1">
      <c r="A89" s="432"/>
      <c r="B89" s="429"/>
      <c r="C89" s="296"/>
      <c r="D89" s="433"/>
      <c r="E89" s="363"/>
      <c r="F89" s="291"/>
      <c r="G89" s="298"/>
    </row>
    <row r="90" spans="1:7" s="25" customFormat="1" ht="19.5" customHeight="1">
      <c r="A90" s="384">
        <v>13</v>
      </c>
      <c r="B90" s="385" t="s">
        <v>197</v>
      </c>
      <c r="C90" s="386">
        <v>1</v>
      </c>
      <c r="D90" s="419" t="s">
        <v>129</v>
      </c>
      <c r="E90" s="388">
        <v>75000</v>
      </c>
      <c r="F90" s="393">
        <f>IF(E90=0," ",(ROUND(C90*E90,2)))</f>
        <v>75000</v>
      </c>
      <c r="G90" s="390">
        <f>+F90</f>
        <v>75000</v>
      </c>
    </row>
    <row r="91" spans="1:7" s="25" customFormat="1" ht="19.5" customHeight="1" thickBot="1">
      <c r="A91" s="236"/>
      <c r="B91" s="237"/>
      <c r="C91" s="238"/>
      <c r="D91" s="237"/>
      <c r="E91" s="239"/>
      <c r="F91" s="240"/>
      <c r="G91" s="241"/>
    </row>
    <row r="92" spans="1:7" s="25" customFormat="1" ht="19.5" customHeight="1" thickTop="1" thickBot="1">
      <c r="A92" s="174"/>
      <c r="B92" s="175" t="s">
        <v>124</v>
      </c>
      <c r="C92" s="176"/>
      <c r="D92" s="177"/>
      <c r="E92" s="178"/>
      <c r="F92" s="179"/>
      <c r="G92" s="180">
        <f>SUM(G16:G90)</f>
        <v>276664418.27999997</v>
      </c>
    </row>
    <row r="93" spans="1:7" s="25" customFormat="1" ht="19.5" customHeight="1" thickTop="1" thickBot="1">
      <c r="A93" s="174"/>
      <c r="B93" s="175" t="s">
        <v>198</v>
      </c>
      <c r="C93" s="176"/>
      <c r="D93" s="177"/>
      <c r="E93" s="178"/>
      <c r="F93" s="179"/>
      <c r="G93" s="180">
        <f>+G92</f>
        <v>276664418.27999997</v>
      </c>
    </row>
    <row r="94" spans="1:7" s="25" customFormat="1" ht="19.5" customHeight="1" thickTop="1">
      <c r="A94" s="213"/>
      <c r="B94" s="214"/>
      <c r="C94" s="215"/>
      <c r="D94" s="215"/>
      <c r="E94" s="215"/>
      <c r="F94" s="215"/>
      <c r="G94" s="216"/>
    </row>
    <row r="95" spans="1:7" s="25" customFormat="1" ht="19.5" customHeight="1">
      <c r="A95" s="573"/>
      <c r="B95" s="217" t="s">
        <v>199</v>
      </c>
      <c r="C95" s="218">
        <v>0.1</v>
      </c>
      <c r="D95" s="219"/>
      <c r="E95" s="219"/>
      <c r="F95" s="219">
        <f>C95*G93</f>
        <v>27666441.829999998</v>
      </c>
      <c r="G95" s="220"/>
    </row>
    <row r="96" spans="1:7" s="25" customFormat="1" ht="19.5" customHeight="1">
      <c r="A96" s="573"/>
      <c r="B96" s="217" t="s">
        <v>200</v>
      </c>
      <c r="C96" s="218">
        <v>2.5000000000000001E-2</v>
      </c>
      <c r="D96" s="219"/>
      <c r="E96" s="219"/>
      <c r="F96" s="219">
        <f>C96*G93</f>
        <v>6916610.46</v>
      </c>
      <c r="G96" s="220"/>
    </row>
    <row r="97" spans="1:7" s="25" customFormat="1" ht="19.5" customHeight="1">
      <c r="A97" s="573"/>
      <c r="B97" s="217" t="s">
        <v>201</v>
      </c>
      <c r="C97" s="218">
        <v>5.3499999999999999E-2</v>
      </c>
      <c r="D97" s="219"/>
      <c r="E97" s="219"/>
      <c r="F97" s="219">
        <f>C97*G93</f>
        <v>14801546.380000001</v>
      </c>
      <c r="G97" s="220"/>
    </row>
    <row r="98" spans="1:7" s="25" customFormat="1" ht="22.5" customHeight="1">
      <c r="A98" s="573"/>
      <c r="B98" s="217" t="s">
        <v>202</v>
      </c>
      <c r="C98" s="218">
        <v>1.4999999999999999E-2</v>
      </c>
      <c r="D98" s="219"/>
      <c r="E98" s="219"/>
      <c r="F98" s="219">
        <f>C98*G93</f>
        <v>4149966.27</v>
      </c>
      <c r="G98" s="220"/>
    </row>
    <row r="99" spans="1:7" s="25" customFormat="1" ht="21.75" customHeight="1">
      <c r="A99" s="573"/>
      <c r="B99" s="217" t="s">
        <v>203</v>
      </c>
      <c r="C99" s="218">
        <v>0.01</v>
      </c>
      <c r="D99" s="219"/>
      <c r="E99" s="219"/>
      <c r="F99" s="219">
        <f>C99*G93</f>
        <v>2766644.18</v>
      </c>
      <c r="G99" s="220"/>
    </row>
    <row r="100" spans="1:7" s="25" customFormat="1" ht="21.75" customHeight="1">
      <c r="A100" s="573"/>
      <c r="B100" s="217" t="s">
        <v>204</v>
      </c>
      <c r="C100" s="218">
        <v>0.05</v>
      </c>
      <c r="D100" s="219"/>
      <c r="E100" s="219"/>
      <c r="F100" s="219">
        <f>C100*G93</f>
        <v>13833220.91</v>
      </c>
      <c r="G100" s="220"/>
    </row>
    <row r="101" spans="1:7" s="25" customFormat="1" ht="21.75" customHeight="1" thickBot="1">
      <c r="A101" s="574"/>
      <c r="B101" s="217"/>
      <c r="C101" s="221"/>
      <c r="D101" s="222"/>
      <c r="E101" s="222"/>
      <c r="F101" s="222"/>
      <c r="G101" s="223"/>
    </row>
    <row r="102" spans="1:7" s="25" customFormat="1" ht="21.75" customHeight="1" thickTop="1" thickBot="1">
      <c r="A102" s="224"/>
      <c r="B102" s="225" t="s">
        <v>205</v>
      </c>
      <c r="C102" s="226"/>
      <c r="D102" s="227"/>
      <c r="E102" s="225"/>
      <c r="F102" s="228"/>
      <c r="G102" s="229">
        <f>SUM(F95:F100)</f>
        <v>70134430.030000001</v>
      </c>
    </row>
    <row r="103" spans="1:7" s="25" customFormat="1" ht="21.75" customHeight="1" thickTop="1" thickBot="1">
      <c r="A103" s="230"/>
      <c r="B103" s="231"/>
      <c r="C103" s="232"/>
      <c r="D103" s="232"/>
      <c r="E103" s="232"/>
      <c r="F103" s="232"/>
      <c r="G103" s="233"/>
    </row>
    <row r="104" spans="1:7" s="25" customFormat="1" ht="21.75" customHeight="1" thickTop="1" thickBot="1">
      <c r="A104" s="224"/>
      <c r="B104" s="225" t="s">
        <v>206</v>
      </c>
      <c r="C104" s="287">
        <v>0.03</v>
      </c>
      <c r="D104" s="227"/>
      <c r="E104" s="225"/>
      <c r="F104" s="228"/>
      <c r="G104" s="229">
        <f>+G102*C104</f>
        <v>2104032.9</v>
      </c>
    </row>
    <row r="105" spans="1:7" s="25" customFormat="1" ht="21.75" customHeight="1" thickTop="1" thickBot="1">
      <c r="A105" s="230"/>
      <c r="B105" s="231"/>
      <c r="C105" s="235"/>
      <c r="D105" s="232"/>
      <c r="E105" s="232"/>
      <c r="F105" s="232"/>
      <c r="G105" s="233"/>
    </row>
    <row r="106" spans="1:7" s="25" customFormat="1" ht="21.75" customHeight="1" thickTop="1" thickBot="1">
      <c r="A106" s="224"/>
      <c r="B106" s="225" t="s">
        <v>207</v>
      </c>
      <c r="C106" s="234"/>
      <c r="D106" s="227"/>
      <c r="E106" s="225"/>
      <c r="F106" s="228"/>
      <c r="G106" s="229">
        <f>G93+G102</f>
        <v>346798848.31</v>
      </c>
    </row>
    <row r="107" spans="1:7" s="25" customFormat="1" ht="21" customHeight="1" thickTop="1" thickBot="1">
      <c r="A107" s="230"/>
      <c r="B107" s="231"/>
      <c r="C107" s="235"/>
      <c r="D107" s="232"/>
      <c r="E107" s="232"/>
      <c r="F107" s="232"/>
      <c r="G107" s="233"/>
    </row>
    <row r="108" spans="1:7" s="25" customFormat="1" ht="17.25" customHeight="1" thickTop="1" thickBot="1">
      <c r="A108" s="224"/>
      <c r="B108" s="225" t="s">
        <v>208</v>
      </c>
      <c r="C108" s="287">
        <v>0.06</v>
      </c>
      <c r="D108" s="227"/>
      <c r="E108" s="225"/>
      <c r="F108" s="228"/>
      <c r="G108" s="229">
        <f>(+C108*G93)</f>
        <v>16599865.1</v>
      </c>
    </row>
    <row r="109" spans="1:7" s="25" customFormat="1" ht="21.75" customHeight="1" thickTop="1" thickBot="1">
      <c r="A109" s="230"/>
      <c r="B109" s="231"/>
      <c r="C109" s="235"/>
      <c r="D109" s="232"/>
      <c r="E109" s="232"/>
      <c r="F109" s="232"/>
      <c r="G109" s="233"/>
    </row>
    <row r="110" spans="1:7" s="25" customFormat="1" ht="21.75" customHeight="1" thickTop="1" thickBot="1">
      <c r="A110" s="224"/>
      <c r="B110" s="225" t="s">
        <v>209</v>
      </c>
      <c r="C110" s="287">
        <v>1E-3</v>
      </c>
      <c r="D110" s="227"/>
      <c r="E110" s="225"/>
      <c r="F110" s="228"/>
      <c r="G110" s="229">
        <f>G93*C110</f>
        <v>276664.42</v>
      </c>
    </row>
    <row r="111" spans="1:7" s="25" customFormat="1" ht="21.75" customHeight="1" thickTop="1" thickBot="1">
      <c r="A111" s="258"/>
      <c r="B111" s="259"/>
      <c r="C111" s="260"/>
      <c r="D111" s="261"/>
      <c r="E111" s="259"/>
      <c r="F111" s="262"/>
      <c r="G111" s="263"/>
    </row>
    <row r="112" spans="1:7" s="25" customFormat="1" ht="18.75" customHeight="1" thickTop="1" thickBot="1">
      <c r="A112" s="224"/>
      <c r="B112" s="225" t="s">
        <v>210</v>
      </c>
      <c r="C112" s="287">
        <v>0.18</v>
      </c>
      <c r="D112" s="227"/>
      <c r="E112" s="225"/>
      <c r="F112" s="228"/>
      <c r="G112" s="229">
        <f>F95*C112</f>
        <v>4979959.53</v>
      </c>
    </row>
    <row r="113" spans="1:8" s="25" customFormat="1" ht="18.75" customHeight="1" thickTop="1" thickBot="1">
      <c r="A113" s="258"/>
      <c r="B113" s="259"/>
      <c r="C113" s="260"/>
      <c r="D113" s="261"/>
      <c r="E113" s="259"/>
      <c r="F113" s="262"/>
      <c r="G113" s="263"/>
    </row>
    <row r="114" spans="1:8" s="25" customFormat="1" ht="18.75" customHeight="1" thickTop="1" thickBot="1">
      <c r="A114" s="279"/>
      <c r="B114" s="280" t="s">
        <v>211</v>
      </c>
      <c r="C114" s="284">
        <v>1</v>
      </c>
      <c r="D114" s="285" t="s">
        <v>129</v>
      </c>
      <c r="E114" s="286"/>
      <c r="F114" s="281"/>
      <c r="G114" s="282">
        <f>2835.36*6*240</f>
        <v>4082918.4</v>
      </c>
    </row>
    <row r="115" spans="1:8" s="25" customFormat="1" ht="22.5" customHeight="1" thickTop="1" thickBot="1">
      <c r="A115" s="258"/>
      <c r="B115" s="259"/>
      <c r="C115" s="260"/>
      <c r="D115" s="261"/>
      <c r="E115" s="259"/>
      <c r="F115" s="262"/>
      <c r="G115" s="263"/>
    </row>
    <row r="116" spans="1:8" s="25" customFormat="1" ht="39" customHeight="1" thickTop="1" thickBot="1">
      <c r="A116" s="279"/>
      <c r="B116" s="280" t="s">
        <v>212</v>
      </c>
      <c r="C116" s="284">
        <v>1</v>
      </c>
      <c r="D116" s="285" t="s">
        <v>129</v>
      </c>
      <c r="E116" s="286"/>
      <c r="F116" s="281"/>
      <c r="G116" s="282">
        <v>1017500</v>
      </c>
    </row>
    <row r="117" spans="1:8" s="25" customFormat="1" ht="17.25" customHeight="1" thickTop="1" thickBot="1">
      <c r="A117" s="230"/>
      <c r="B117" s="231"/>
      <c r="C117" s="235"/>
      <c r="D117" s="232"/>
      <c r="E117" s="283"/>
      <c r="F117" s="232"/>
      <c r="G117" s="233"/>
    </row>
    <row r="118" spans="1:8" s="25" customFormat="1" ht="18.75" customHeight="1" thickTop="1" thickBot="1">
      <c r="A118" s="224"/>
      <c r="B118" s="225" t="s">
        <v>213</v>
      </c>
      <c r="C118" s="287">
        <v>0.05</v>
      </c>
      <c r="D118" s="227"/>
      <c r="E118" s="225"/>
      <c r="F118" s="228"/>
      <c r="G118" s="229">
        <f>+G106*C118</f>
        <v>17339942.420000002</v>
      </c>
    </row>
    <row r="119" spans="1:8" s="25" customFormat="1" ht="18.75" customHeight="1" thickTop="1" thickBot="1">
      <c r="A119" s="230"/>
      <c r="B119" s="231"/>
      <c r="C119" s="232"/>
      <c r="D119" s="232"/>
      <c r="E119" s="232"/>
      <c r="F119" s="232"/>
      <c r="G119" s="233"/>
    </row>
    <row r="120" spans="1:8" s="25" customFormat="1" ht="18.75" customHeight="1" thickTop="1" thickBot="1">
      <c r="A120" s="224"/>
      <c r="B120" s="225" t="s">
        <v>214</v>
      </c>
      <c r="C120" s="226"/>
      <c r="D120" s="227"/>
      <c r="E120" s="225"/>
      <c r="F120" s="228"/>
      <c r="G120" s="229">
        <f>+G118+G116+G112+G114+G110+G108+G106+G104</f>
        <v>393199731.07999998</v>
      </c>
    </row>
    <row r="121" spans="1:8" s="25" customFormat="1" ht="18.75" customHeight="1" thickTop="1">
      <c r="A121" s="264"/>
      <c r="B121" s="265"/>
      <c r="C121" s="266"/>
      <c r="D121" s="266"/>
      <c r="E121" s="266"/>
      <c r="F121" s="266"/>
      <c r="G121" s="266"/>
    </row>
    <row r="122" spans="1:8" s="25" customFormat="1" ht="18.75" customHeight="1">
      <c r="A122" s="264"/>
      <c r="B122" s="265"/>
      <c r="C122" s="266"/>
      <c r="D122" s="266"/>
      <c r="E122" s="266"/>
      <c r="F122" s="267"/>
      <c r="G122" s="266"/>
      <c r="H122" s="25">
        <f>G120+'PRESUPUESTO FASE A'!G125</f>
        <v>393199731.07999998</v>
      </c>
    </row>
    <row r="123" spans="1:8" s="25" customFormat="1" ht="19.5" customHeight="1">
      <c r="A123" s="268"/>
      <c r="B123" s="269" t="s">
        <v>215</v>
      </c>
      <c r="C123" s="267"/>
      <c r="D123" s="270"/>
      <c r="E123" s="267" t="s">
        <v>216</v>
      </c>
      <c r="F123" s="271"/>
      <c r="G123" s="271"/>
    </row>
    <row r="124" spans="1:8" s="25" customFormat="1" ht="25.5" customHeight="1">
      <c r="A124" s="268"/>
      <c r="B124" s="269"/>
      <c r="C124" s="267"/>
      <c r="D124" s="270"/>
      <c r="E124" s="267"/>
      <c r="F124" s="271"/>
      <c r="G124" s="271"/>
    </row>
    <row r="125" spans="1:8" s="25" customFormat="1" ht="23.25" customHeight="1">
      <c r="A125" s="264"/>
      <c r="B125" s="265" t="s">
        <v>217</v>
      </c>
      <c r="C125" s="266"/>
      <c r="D125" s="266"/>
      <c r="E125" s="266" t="s">
        <v>217</v>
      </c>
      <c r="F125" s="267"/>
      <c r="G125" s="266"/>
    </row>
    <row r="126" spans="1:8" s="25" customFormat="1" ht="21" customHeight="1">
      <c r="A126" s="264"/>
      <c r="B126" s="272" t="s">
        <v>218</v>
      </c>
      <c r="C126" s="273"/>
      <c r="D126" s="266"/>
      <c r="E126" s="274" t="s">
        <v>219</v>
      </c>
      <c r="F126" s="267"/>
      <c r="G126" s="266"/>
    </row>
    <row r="127" spans="1:8" s="25" customFormat="1" ht="21" customHeight="1">
      <c r="A127" s="264"/>
      <c r="B127" s="265" t="s">
        <v>220</v>
      </c>
      <c r="C127" s="266"/>
      <c r="D127" s="266"/>
      <c r="E127" s="266" t="s">
        <v>221</v>
      </c>
      <c r="F127" s="267"/>
      <c r="G127" s="266"/>
    </row>
    <row r="128" spans="1:8" s="25" customFormat="1" ht="21" customHeight="1">
      <c r="A128" s="264"/>
      <c r="B128" s="265"/>
      <c r="C128" s="266"/>
      <c r="D128" s="273"/>
      <c r="E128" s="266"/>
      <c r="F128" s="267"/>
      <c r="G128" s="266"/>
    </row>
    <row r="129" spans="1:7" s="25" customFormat="1" ht="21" customHeight="1">
      <c r="A129" s="275"/>
      <c r="B129" s="265"/>
      <c r="C129" s="266"/>
      <c r="D129" s="266"/>
      <c r="E129" s="266"/>
      <c r="F129" s="267"/>
      <c r="G129" s="266"/>
    </row>
    <row r="130" spans="1:7" s="25" customFormat="1" ht="21" customHeight="1">
      <c r="A130" s="275"/>
      <c r="B130" s="269" t="s">
        <v>222</v>
      </c>
      <c r="C130" s="267"/>
      <c r="D130" s="276"/>
      <c r="E130" s="267" t="s">
        <v>223</v>
      </c>
      <c r="F130" s="276"/>
      <c r="G130" s="266"/>
    </row>
    <row r="131" spans="1:7" s="25" customFormat="1" ht="21" customHeight="1">
      <c r="A131" s="275"/>
      <c r="B131" s="269"/>
      <c r="C131" s="267"/>
      <c r="D131" s="276"/>
      <c r="E131" s="267"/>
      <c r="F131" s="276"/>
      <c r="G131" s="266"/>
    </row>
    <row r="132" spans="1:7" s="25" customFormat="1" ht="21" customHeight="1">
      <c r="A132" s="275"/>
      <c r="B132" s="265" t="s">
        <v>217</v>
      </c>
      <c r="C132" s="266"/>
      <c r="D132" s="266"/>
      <c r="E132" s="266" t="s">
        <v>217</v>
      </c>
      <c r="F132" s="267"/>
      <c r="G132" s="266"/>
    </row>
    <row r="133" spans="1:7" s="25" customFormat="1" ht="21" customHeight="1">
      <c r="A133" s="275"/>
      <c r="B133" s="272" t="s">
        <v>224</v>
      </c>
      <c r="C133" s="273"/>
      <c r="D133" s="273"/>
      <c r="E133" s="273" t="s">
        <v>225</v>
      </c>
      <c r="F133" s="267"/>
      <c r="G133" s="273"/>
    </row>
    <row r="134" spans="1:7" s="25" customFormat="1" ht="21" customHeight="1">
      <c r="A134" s="275"/>
      <c r="B134" s="265" t="s">
        <v>226</v>
      </c>
      <c r="C134" s="266"/>
      <c r="D134" s="266"/>
      <c r="E134" s="266" t="s">
        <v>227</v>
      </c>
      <c r="F134" s="267"/>
      <c r="G134" s="266"/>
    </row>
    <row r="135" spans="1:7" s="25" customFormat="1" ht="15" customHeight="1">
      <c r="A135" s="277"/>
      <c r="B135" s="277"/>
      <c r="C135" s="277"/>
      <c r="D135" s="277"/>
      <c r="E135" s="278"/>
      <c r="F135" s="278"/>
      <c r="G135" s="278"/>
    </row>
    <row r="136" spans="1:7" s="25" customFormat="1" ht="15" customHeight="1">
      <c r="A136" s="173"/>
      <c r="B136" s="173"/>
      <c r="C136" s="173"/>
      <c r="D136" s="173"/>
      <c r="E136" s="173"/>
      <c r="F136" s="173"/>
      <c r="G136" s="173"/>
    </row>
    <row r="137" spans="1:7" s="25" customFormat="1" ht="15" customHeight="1">
      <c r="A137" s="132"/>
      <c r="B137" s="132"/>
      <c r="C137" s="133"/>
      <c r="D137" s="132"/>
      <c r="E137" s="134"/>
      <c r="F137" s="135"/>
      <c r="G137" s="135"/>
    </row>
    <row r="138" spans="1:7" s="25" customFormat="1" ht="15" customHeight="1">
      <c r="A138" s="132"/>
      <c r="B138" s="132"/>
      <c r="C138" s="133"/>
      <c r="D138" s="132"/>
      <c r="E138" s="134"/>
      <c r="F138" s="135"/>
      <c r="G138" s="135"/>
    </row>
    <row r="139" spans="1:7" s="25" customFormat="1" ht="15" customHeight="1">
      <c r="A139" s="132"/>
      <c r="B139" s="132"/>
      <c r="C139" s="133"/>
      <c r="D139" s="132"/>
      <c r="E139" s="134"/>
      <c r="F139" s="135"/>
      <c r="G139" s="135"/>
    </row>
    <row r="140" spans="1:7" s="25" customFormat="1" ht="15" customHeight="1">
      <c r="A140" s="132"/>
      <c r="B140" s="132"/>
      <c r="C140" s="133"/>
      <c r="D140" s="132"/>
      <c r="E140" s="134"/>
      <c r="F140" s="135"/>
      <c r="G140" s="135"/>
    </row>
    <row r="141" spans="1:7" s="25" customFormat="1" ht="15" customHeight="1">
      <c r="A141" s="132"/>
      <c r="B141" s="132"/>
      <c r="C141" s="133"/>
      <c r="D141" s="132"/>
      <c r="E141" s="134"/>
      <c r="F141" s="135"/>
      <c r="G141" s="135"/>
    </row>
    <row r="142" spans="1:7" s="25" customFormat="1" ht="15" customHeight="1">
      <c r="A142" s="132"/>
      <c r="B142" s="132"/>
      <c r="C142" s="133"/>
      <c r="D142" s="132"/>
      <c r="E142" s="134"/>
      <c r="F142" s="135"/>
      <c r="G142" s="135"/>
    </row>
    <row r="143" spans="1:7" s="25" customFormat="1" ht="15" customHeight="1">
      <c r="A143" s="132"/>
      <c r="B143" s="132"/>
      <c r="C143" s="133"/>
      <c r="D143" s="132"/>
      <c r="E143" s="134"/>
      <c r="F143" s="135"/>
      <c r="G143" s="135"/>
    </row>
    <row r="144" spans="1:7" s="25" customFormat="1" ht="15" customHeight="1">
      <c r="A144" s="132"/>
      <c r="B144" s="132"/>
      <c r="C144" s="133"/>
      <c r="D144" s="132"/>
      <c r="E144" s="134"/>
      <c r="F144" s="135"/>
      <c r="G144" s="135"/>
    </row>
    <row r="145" spans="1:7" s="25" customFormat="1" ht="15" customHeight="1">
      <c r="A145" s="132"/>
      <c r="B145" s="132"/>
      <c r="C145" s="133"/>
      <c r="D145" s="132"/>
      <c r="E145" s="134"/>
      <c r="F145" s="135"/>
      <c r="G145" s="135"/>
    </row>
    <row r="146" spans="1:7" s="25" customFormat="1" ht="15" customHeight="1">
      <c r="A146" s="132"/>
      <c r="B146" s="132"/>
      <c r="C146" s="133"/>
      <c r="D146" s="132"/>
      <c r="E146" s="134"/>
      <c r="F146" s="135"/>
      <c r="G146" s="135"/>
    </row>
    <row r="147" spans="1:7" s="25" customFormat="1" ht="15" customHeight="1">
      <c r="A147" s="132"/>
      <c r="B147" s="132"/>
      <c r="C147" s="133"/>
      <c r="D147" s="132"/>
      <c r="E147" s="134"/>
      <c r="F147" s="135"/>
      <c r="G147" s="135"/>
    </row>
    <row r="148" spans="1:7" s="25" customFormat="1" ht="15" customHeight="1">
      <c r="A148" s="132"/>
      <c r="B148" s="132"/>
      <c r="C148" s="133"/>
      <c r="D148" s="132"/>
      <c r="E148" s="134"/>
      <c r="F148" s="135"/>
      <c r="G148" s="135"/>
    </row>
    <row r="149" spans="1:7" s="25" customFormat="1" ht="15" customHeight="1">
      <c r="A149" s="132"/>
      <c r="B149" s="132"/>
      <c r="C149" s="133"/>
      <c r="D149" s="132"/>
      <c r="E149" s="134"/>
      <c r="F149" s="135"/>
      <c r="G149" s="135"/>
    </row>
    <row r="150" spans="1:7" s="25" customFormat="1" ht="15" customHeight="1">
      <c r="A150" s="132"/>
      <c r="B150" s="132"/>
      <c r="C150" s="133"/>
      <c r="D150" s="132"/>
      <c r="E150" s="134"/>
      <c r="F150" s="135"/>
      <c r="G150" s="135"/>
    </row>
    <row r="151" spans="1:7" s="25" customFormat="1" ht="15" customHeight="1">
      <c r="A151" s="132"/>
      <c r="B151" s="132"/>
      <c r="C151" s="133"/>
      <c r="D151" s="132"/>
      <c r="E151" s="134"/>
      <c r="F151" s="135"/>
      <c r="G151" s="135"/>
    </row>
    <row r="152" spans="1:7" s="25" customFormat="1" ht="15" customHeight="1">
      <c r="A152" s="132"/>
      <c r="B152" s="132"/>
      <c r="C152" s="133"/>
      <c r="D152" s="132"/>
      <c r="E152" s="134"/>
      <c r="F152" s="135"/>
      <c r="G152" s="135"/>
    </row>
    <row r="153" spans="1:7" s="25" customFormat="1" ht="15" customHeight="1">
      <c r="A153" s="132"/>
      <c r="B153" s="132"/>
      <c r="C153" s="133"/>
      <c r="D153" s="132"/>
      <c r="E153" s="134"/>
      <c r="F153" s="135"/>
      <c r="G153" s="135"/>
    </row>
    <row r="154" spans="1:7" s="25" customFormat="1" ht="15" customHeight="1">
      <c r="A154" s="132"/>
      <c r="B154" s="132"/>
      <c r="C154" s="133"/>
      <c r="D154" s="132"/>
      <c r="E154" s="134"/>
      <c r="F154" s="135"/>
      <c r="G154" s="135"/>
    </row>
    <row r="155" spans="1:7" s="25" customFormat="1" ht="15" customHeight="1">
      <c r="A155" s="132"/>
      <c r="B155" s="132"/>
      <c r="C155" s="133"/>
      <c r="D155" s="132"/>
      <c r="E155" s="134"/>
      <c r="F155" s="135"/>
      <c r="G155" s="135"/>
    </row>
    <row r="156" spans="1:7" s="25" customFormat="1" ht="15" customHeight="1">
      <c r="A156" s="132"/>
      <c r="B156" s="132"/>
      <c r="C156" s="133"/>
      <c r="D156" s="132"/>
      <c r="E156" s="134"/>
      <c r="F156" s="135"/>
      <c r="G156" s="135"/>
    </row>
    <row r="157" spans="1:7" s="25" customFormat="1" ht="15" customHeight="1">
      <c r="A157" s="132"/>
      <c r="B157" s="132"/>
      <c r="C157" s="133"/>
      <c r="D157" s="132"/>
      <c r="E157" s="134"/>
      <c r="F157" s="135"/>
      <c r="G157" s="135"/>
    </row>
    <row r="158" spans="1:7" s="25" customFormat="1" ht="15" customHeight="1">
      <c r="A158" s="132"/>
      <c r="B158" s="132"/>
      <c r="C158" s="133"/>
      <c r="D158" s="132"/>
      <c r="E158" s="134"/>
      <c r="F158" s="135"/>
      <c r="G158" s="135"/>
    </row>
    <row r="159" spans="1:7" s="25" customFormat="1" ht="15" customHeight="1">
      <c r="A159" s="132"/>
      <c r="B159" s="132"/>
      <c r="C159" s="133"/>
      <c r="D159" s="132"/>
      <c r="E159" s="134"/>
      <c r="F159" s="135"/>
      <c r="G159" s="135"/>
    </row>
    <row r="160" spans="1:7" s="25" customFormat="1" ht="15" customHeight="1">
      <c r="A160" s="132"/>
      <c r="B160" s="132"/>
      <c r="C160" s="133"/>
      <c r="D160" s="132"/>
      <c r="E160" s="134"/>
      <c r="F160" s="135"/>
      <c r="G160" s="135"/>
    </row>
    <row r="161" spans="1:7" s="25" customFormat="1" ht="15" customHeight="1">
      <c r="A161" s="132"/>
      <c r="B161" s="132"/>
      <c r="C161" s="133"/>
      <c r="D161" s="132"/>
      <c r="E161" s="134"/>
      <c r="F161" s="135"/>
      <c r="G161" s="135"/>
    </row>
    <row r="162" spans="1:7" s="25" customFormat="1" ht="15" customHeight="1">
      <c r="A162" s="132"/>
      <c r="B162" s="132"/>
      <c r="C162" s="133"/>
      <c r="D162" s="132"/>
      <c r="E162" s="134"/>
      <c r="F162" s="135"/>
      <c r="G162" s="135"/>
    </row>
    <row r="163" spans="1:7" s="25" customFormat="1" ht="15" customHeight="1">
      <c r="A163" s="132"/>
      <c r="B163" s="132"/>
      <c r="C163" s="133"/>
      <c r="D163" s="132"/>
      <c r="E163" s="134"/>
      <c r="F163" s="135"/>
      <c r="G163" s="135"/>
    </row>
    <row r="164" spans="1:7" s="25" customFormat="1" ht="15" customHeight="1">
      <c r="A164" s="132"/>
      <c r="B164" s="132"/>
      <c r="C164" s="133"/>
      <c r="D164" s="132"/>
      <c r="E164" s="134"/>
      <c r="F164" s="135"/>
      <c r="G164" s="135"/>
    </row>
    <row r="165" spans="1:7" s="25" customFormat="1" ht="15" customHeight="1">
      <c r="A165" s="132"/>
      <c r="B165" s="132"/>
      <c r="C165" s="133"/>
      <c r="D165" s="132"/>
      <c r="E165" s="134"/>
      <c r="F165" s="135"/>
      <c r="G165" s="135"/>
    </row>
    <row r="166" spans="1:7" s="25" customFormat="1" ht="15" customHeight="1">
      <c r="A166" s="132"/>
      <c r="B166" s="132"/>
      <c r="C166" s="133"/>
      <c r="D166" s="132"/>
      <c r="E166" s="134"/>
      <c r="F166" s="135"/>
      <c r="G166" s="135"/>
    </row>
    <row r="167" spans="1:7" s="25" customFormat="1" ht="15" customHeight="1">
      <c r="A167" s="132"/>
      <c r="B167" s="132"/>
      <c r="C167" s="133"/>
      <c r="D167" s="132"/>
      <c r="E167" s="134"/>
      <c r="F167" s="135"/>
      <c r="G167" s="135"/>
    </row>
    <row r="168" spans="1:7" s="25" customFormat="1" ht="15" customHeight="1">
      <c r="A168" s="132"/>
      <c r="B168" s="132"/>
      <c r="C168" s="133"/>
      <c r="D168" s="132"/>
      <c r="E168" s="134"/>
      <c r="F168" s="135"/>
      <c r="G168" s="135"/>
    </row>
    <row r="169" spans="1:7" s="25" customFormat="1" ht="15" customHeight="1">
      <c r="A169" s="132"/>
      <c r="B169" s="132"/>
      <c r="C169" s="133"/>
      <c r="D169" s="132"/>
      <c r="E169" s="134"/>
      <c r="F169" s="135"/>
      <c r="G169" s="135"/>
    </row>
    <row r="170" spans="1:7" s="25" customFormat="1" ht="15" customHeight="1">
      <c r="A170" s="132"/>
      <c r="B170" s="132"/>
      <c r="C170" s="133"/>
      <c r="D170" s="132"/>
      <c r="E170" s="134"/>
      <c r="F170" s="135"/>
      <c r="G170" s="135"/>
    </row>
    <row r="171" spans="1:7" s="25" customFormat="1" ht="15" customHeight="1">
      <c r="A171" s="132"/>
      <c r="B171" s="132"/>
      <c r="C171" s="133"/>
      <c r="D171" s="132"/>
      <c r="E171" s="134"/>
      <c r="F171" s="135"/>
      <c r="G171" s="135"/>
    </row>
    <row r="172" spans="1:7" s="25" customFormat="1" ht="15" customHeight="1">
      <c r="A172" s="132"/>
      <c r="B172" s="132"/>
      <c r="C172" s="133"/>
      <c r="D172" s="132"/>
      <c r="E172" s="134"/>
      <c r="F172" s="135"/>
      <c r="G172" s="135"/>
    </row>
    <row r="173" spans="1:7" s="25" customFormat="1" ht="15" customHeight="1">
      <c r="A173" s="132"/>
      <c r="B173" s="132"/>
      <c r="C173" s="133"/>
      <c r="D173" s="132"/>
      <c r="E173" s="134"/>
      <c r="F173" s="135"/>
      <c r="G173" s="135"/>
    </row>
    <row r="174" spans="1:7" s="25" customFormat="1" ht="15" customHeight="1">
      <c r="A174" s="132"/>
      <c r="B174" s="132"/>
      <c r="C174" s="133"/>
      <c r="D174" s="132"/>
      <c r="E174" s="134"/>
      <c r="F174" s="135"/>
      <c r="G174" s="135"/>
    </row>
    <row r="175" spans="1:7" s="25" customFormat="1" ht="15" customHeight="1">
      <c r="A175" s="132"/>
      <c r="B175" s="132"/>
      <c r="C175" s="133"/>
      <c r="D175" s="132"/>
      <c r="E175" s="134"/>
      <c r="F175" s="135"/>
      <c r="G175" s="135"/>
    </row>
    <row r="176" spans="1:7" s="25" customFormat="1" ht="15" customHeight="1">
      <c r="A176" s="132"/>
      <c r="B176" s="132"/>
      <c r="C176" s="133"/>
      <c r="D176" s="132"/>
      <c r="E176" s="134"/>
      <c r="F176" s="135"/>
      <c r="G176" s="135"/>
    </row>
    <row r="177" spans="1:7" s="25" customFormat="1" ht="15" customHeight="1">
      <c r="A177" s="132"/>
      <c r="B177" s="132"/>
      <c r="C177" s="133"/>
      <c r="D177" s="132"/>
      <c r="E177" s="134"/>
      <c r="F177" s="135"/>
      <c r="G177" s="135"/>
    </row>
    <row r="178" spans="1:7" s="25" customFormat="1" ht="15" customHeight="1">
      <c r="A178" s="132"/>
      <c r="B178" s="132"/>
      <c r="C178" s="133"/>
      <c r="D178" s="132"/>
      <c r="E178" s="134"/>
      <c r="F178" s="135"/>
      <c r="G178" s="135"/>
    </row>
    <row r="179" spans="1:7" s="25" customFormat="1" ht="15" customHeight="1">
      <c r="A179" s="132"/>
      <c r="B179" s="132"/>
      <c r="C179" s="133"/>
      <c r="D179" s="132"/>
      <c r="E179" s="134"/>
      <c r="F179" s="135"/>
      <c r="G179" s="135"/>
    </row>
    <row r="180" spans="1:7" s="25" customFormat="1" ht="15" customHeight="1">
      <c r="A180" s="132"/>
      <c r="B180" s="132"/>
      <c r="C180" s="133"/>
      <c r="D180" s="132"/>
      <c r="E180" s="134"/>
      <c r="F180" s="135"/>
      <c r="G180" s="135"/>
    </row>
    <row r="181" spans="1:7" s="25" customFormat="1" ht="15" customHeight="1">
      <c r="A181" s="132"/>
      <c r="B181" s="132"/>
      <c r="C181" s="133"/>
      <c r="D181" s="132"/>
      <c r="E181" s="134"/>
      <c r="F181" s="135"/>
      <c r="G181" s="135"/>
    </row>
    <row r="182" spans="1:7" s="25" customFormat="1" ht="15" customHeight="1">
      <c r="A182" s="132"/>
      <c r="B182" s="132"/>
      <c r="C182" s="133"/>
      <c r="D182" s="132"/>
      <c r="E182" s="134"/>
      <c r="F182" s="135"/>
      <c r="G182" s="135"/>
    </row>
    <row r="183" spans="1:7" s="25" customFormat="1" ht="15" customHeight="1">
      <c r="A183" s="132"/>
      <c r="B183" s="132"/>
      <c r="C183" s="133"/>
      <c r="D183" s="132"/>
      <c r="E183" s="134"/>
      <c r="F183" s="135"/>
      <c r="G183" s="135"/>
    </row>
    <row r="184" spans="1:7" s="25" customFormat="1" ht="15" customHeight="1">
      <c r="A184" s="132"/>
      <c r="B184" s="132"/>
      <c r="C184" s="133"/>
      <c r="D184" s="132"/>
      <c r="E184" s="134"/>
      <c r="F184" s="135"/>
      <c r="G184" s="135"/>
    </row>
    <row r="185" spans="1:7" s="25" customFormat="1" ht="15" customHeight="1">
      <c r="A185" s="132"/>
      <c r="B185" s="132"/>
      <c r="C185" s="133"/>
      <c r="D185" s="132"/>
      <c r="E185" s="134"/>
      <c r="F185" s="135"/>
      <c r="G185" s="135"/>
    </row>
    <row r="186" spans="1:7" s="25" customFormat="1" ht="15" customHeight="1">
      <c r="A186" s="132"/>
      <c r="B186" s="132"/>
      <c r="C186" s="133"/>
      <c r="D186" s="132"/>
      <c r="E186" s="134"/>
      <c r="F186" s="135"/>
      <c r="G186" s="135"/>
    </row>
    <row r="187" spans="1:7" s="25" customFormat="1" ht="15" customHeight="1">
      <c r="A187" s="132"/>
      <c r="B187" s="132"/>
      <c r="C187" s="133"/>
      <c r="D187" s="132"/>
      <c r="E187" s="134"/>
      <c r="F187" s="135"/>
      <c r="G187" s="135"/>
    </row>
    <row r="188" spans="1:7" s="25" customFormat="1" ht="15" customHeight="1">
      <c r="A188" s="132"/>
      <c r="B188" s="132"/>
      <c r="C188" s="133"/>
      <c r="D188" s="132"/>
      <c r="E188" s="134"/>
      <c r="F188" s="135"/>
      <c r="G188" s="135"/>
    </row>
    <row r="189" spans="1:7" s="25" customFormat="1" ht="15" customHeight="1">
      <c r="A189" s="132"/>
      <c r="B189" s="132"/>
      <c r="C189" s="133"/>
      <c r="D189" s="132"/>
      <c r="E189" s="134"/>
      <c r="F189" s="135"/>
      <c r="G189" s="135"/>
    </row>
    <row r="190" spans="1:7" s="25" customFormat="1" ht="15" customHeight="1">
      <c r="A190" s="132"/>
      <c r="B190" s="132"/>
      <c r="C190" s="133"/>
      <c r="D190" s="132"/>
      <c r="E190" s="134"/>
      <c r="F190" s="135"/>
      <c r="G190" s="135"/>
    </row>
    <row r="191" spans="1:7" s="25" customFormat="1" ht="15" customHeight="1">
      <c r="A191" s="132"/>
      <c r="B191" s="132"/>
      <c r="C191" s="133"/>
      <c r="D191" s="132"/>
      <c r="E191" s="134"/>
      <c r="F191" s="135"/>
      <c r="G191" s="135"/>
    </row>
    <row r="192" spans="1:7" s="25" customFormat="1" ht="15" customHeight="1">
      <c r="A192" s="132"/>
      <c r="B192" s="132"/>
      <c r="C192" s="133"/>
      <c r="D192" s="132"/>
      <c r="E192" s="134"/>
      <c r="F192" s="135"/>
      <c r="G192" s="135"/>
    </row>
    <row r="193" spans="1:7" s="25" customFormat="1" ht="15" customHeight="1">
      <c r="A193" s="132"/>
      <c r="B193" s="132"/>
      <c r="C193" s="133"/>
      <c r="D193" s="132"/>
      <c r="E193" s="134"/>
      <c r="F193" s="135"/>
      <c r="G193" s="135"/>
    </row>
    <row r="194" spans="1:7" s="25" customFormat="1" ht="15" customHeight="1">
      <c r="A194" s="132"/>
      <c r="B194" s="132"/>
      <c r="C194" s="133"/>
      <c r="D194" s="132"/>
      <c r="E194" s="134"/>
      <c r="F194" s="135"/>
      <c r="G194" s="135"/>
    </row>
    <row r="195" spans="1:7" s="25" customFormat="1" ht="15" customHeight="1">
      <c r="A195" s="132"/>
      <c r="B195" s="132"/>
      <c r="C195" s="133"/>
      <c r="D195" s="132"/>
      <c r="E195" s="134"/>
      <c r="F195" s="135"/>
      <c r="G195" s="135"/>
    </row>
    <row r="196" spans="1:7" s="25" customFormat="1" ht="15" customHeight="1">
      <c r="A196" s="132"/>
      <c r="B196" s="132"/>
      <c r="C196" s="133"/>
      <c r="D196" s="132"/>
      <c r="E196" s="134"/>
      <c r="F196" s="135"/>
      <c r="G196" s="135"/>
    </row>
    <row r="197" spans="1:7" s="25" customFormat="1" ht="15" customHeight="1">
      <c r="A197" s="132"/>
      <c r="B197" s="132"/>
      <c r="C197" s="133"/>
      <c r="D197" s="132"/>
      <c r="E197" s="134"/>
      <c r="F197" s="135"/>
      <c r="G197" s="135"/>
    </row>
    <row r="198" spans="1:7" s="25" customFormat="1" ht="15" customHeight="1">
      <c r="A198" s="132"/>
      <c r="B198" s="132"/>
      <c r="C198" s="133"/>
      <c r="D198" s="132"/>
      <c r="E198" s="134"/>
      <c r="F198" s="135"/>
      <c r="G198" s="135"/>
    </row>
    <row r="199" spans="1:7" s="25" customFormat="1" ht="15" customHeight="1">
      <c r="A199" s="132"/>
      <c r="B199" s="132"/>
      <c r="C199" s="133"/>
      <c r="D199" s="132"/>
      <c r="E199" s="134"/>
      <c r="F199" s="135"/>
      <c r="G199" s="135"/>
    </row>
    <row r="200" spans="1:7" s="25" customFormat="1" ht="15" customHeight="1">
      <c r="A200" s="132"/>
      <c r="B200" s="132"/>
      <c r="C200" s="133"/>
      <c r="D200" s="132"/>
      <c r="E200" s="134"/>
      <c r="F200" s="135"/>
      <c r="G200" s="135"/>
    </row>
    <row r="201" spans="1:7" s="25" customFormat="1" ht="15" customHeight="1">
      <c r="A201" s="132"/>
      <c r="B201" s="132"/>
      <c r="C201" s="133"/>
      <c r="D201" s="132"/>
      <c r="E201" s="134"/>
      <c r="F201" s="135"/>
      <c r="G201" s="135"/>
    </row>
    <row r="202" spans="1:7" s="25" customFormat="1" ht="15" customHeight="1">
      <c r="A202" s="132"/>
      <c r="B202" s="132"/>
      <c r="C202" s="133"/>
      <c r="D202" s="132"/>
      <c r="E202" s="134"/>
      <c r="F202" s="135"/>
      <c r="G202" s="135"/>
    </row>
    <row r="203" spans="1:7" s="25" customFormat="1" ht="15" customHeight="1">
      <c r="A203" s="132"/>
      <c r="B203" s="132"/>
      <c r="C203" s="133"/>
      <c r="D203" s="132"/>
      <c r="E203" s="134"/>
      <c r="F203" s="135"/>
      <c r="G203" s="135"/>
    </row>
    <row r="204" spans="1:7" s="25" customFormat="1" ht="15" customHeight="1">
      <c r="A204" s="132"/>
      <c r="B204" s="132"/>
      <c r="C204" s="133"/>
      <c r="D204" s="132"/>
      <c r="E204" s="134"/>
      <c r="F204" s="135"/>
      <c r="G204" s="135"/>
    </row>
    <row r="205" spans="1:7" s="25" customFormat="1" ht="15" customHeight="1">
      <c r="A205" s="132"/>
      <c r="B205" s="132"/>
      <c r="C205" s="133"/>
      <c r="D205" s="132"/>
      <c r="E205" s="134"/>
      <c r="F205" s="135"/>
      <c r="G205" s="135"/>
    </row>
    <row r="206" spans="1:7" s="25" customFormat="1" ht="15" customHeight="1">
      <c r="A206" s="132"/>
      <c r="B206" s="132"/>
      <c r="C206" s="133"/>
      <c r="D206" s="132"/>
      <c r="E206" s="134"/>
      <c r="F206" s="135"/>
      <c r="G206" s="135"/>
    </row>
    <row r="207" spans="1:7" s="25" customFormat="1" ht="15" customHeight="1">
      <c r="A207" s="132"/>
      <c r="B207" s="132"/>
      <c r="C207" s="133"/>
      <c r="D207" s="132"/>
      <c r="E207" s="134"/>
      <c r="F207" s="135"/>
      <c r="G207" s="135"/>
    </row>
    <row r="208" spans="1:7" s="25" customFormat="1" ht="15" customHeight="1">
      <c r="A208" s="132"/>
      <c r="B208" s="132"/>
      <c r="C208" s="133"/>
      <c r="D208" s="132"/>
      <c r="E208" s="134"/>
      <c r="F208" s="135"/>
      <c r="G208" s="135"/>
    </row>
    <row r="209" spans="1:7" s="25" customFormat="1" ht="15" customHeight="1">
      <c r="A209" s="132"/>
      <c r="B209" s="132"/>
      <c r="C209" s="133"/>
      <c r="D209" s="132"/>
      <c r="E209" s="134"/>
      <c r="F209" s="135"/>
      <c r="G209" s="135"/>
    </row>
    <row r="210" spans="1:7" s="25" customFormat="1" ht="15" customHeight="1">
      <c r="A210" s="132"/>
      <c r="B210" s="132"/>
      <c r="C210" s="133"/>
      <c r="D210" s="132"/>
      <c r="E210" s="134"/>
      <c r="F210" s="135"/>
      <c r="G210" s="135"/>
    </row>
    <row r="211" spans="1:7" s="25" customFormat="1" ht="15" customHeight="1">
      <c r="A211" s="132"/>
      <c r="B211" s="132"/>
      <c r="C211" s="133"/>
      <c r="D211" s="132"/>
      <c r="E211" s="134"/>
      <c r="F211" s="135"/>
      <c r="G211" s="135"/>
    </row>
    <row r="212" spans="1:7" s="25" customFormat="1" ht="15" customHeight="1">
      <c r="A212" s="132"/>
      <c r="B212" s="132"/>
      <c r="C212" s="133"/>
      <c r="D212" s="132"/>
      <c r="E212" s="134"/>
      <c r="F212" s="135"/>
      <c r="G212" s="135"/>
    </row>
    <row r="213" spans="1:7" s="25" customFormat="1" ht="15" customHeight="1">
      <c r="A213" s="132"/>
      <c r="B213" s="132"/>
      <c r="C213" s="133"/>
      <c r="D213" s="132"/>
      <c r="E213" s="134"/>
      <c r="F213" s="135"/>
      <c r="G213" s="135"/>
    </row>
    <row r="214" spans="1:7" s="25" customFormat="1" ht="15" customHeight="1">
      <c r="A214" s="132"/>
      <c r="B214" s="132"/>
      <c r="C214" s="133"/>
      <c r="D214" s="132"/>
      <c r="E214" s="134"/>
      <c r="F214" s="135"/>
      <c r="G214" s="135"/>
    </row>
    <row r="215" spans="1:7" s="25" customFormat="1" ht="15" customHeight="1">
      <c r="A215" s="132"/>
      <c r="B215" s="132"/>
      <c r="C215" s="133"/>
      <c r="D215" s="132"/>
      <c r="E215" s="134"/>
      <c r="F215" s="135"/>
      <c r="G215" s="135"/>
    </row>
    <row r="216" spans="1:7" s="25" customFormat="1" ht="15" customHeight="1">
      <c r="A216" s="132"/>
      <c r="B216" s="132"/>
      <c r="C216" s="133"/>
      <c r="D216" s="132"/>
      <c r="E216" s="134"/>
      <c r="F216" s="135"/>
      <c r="G216" s="135"/>
    </row>
    <row r="217" spans="1:7" s="25" customFormat="1" ht="15" customHeight="1">
      <c r="A217" s="132"/>
      <c r="B217" s="132"/>
      <c r="C217" s="133"/>
      <c r="D217" s="132"/>
      <c r="E217" s="134"/>
      <c r="F217" s="135"/>
      <c r="G217" s="135"/>
    </row>
    <row r="218" spans="1:7" s="25" customFormat="1" ht="15" customHeight="1">
      <c r="A218" s="132"/>
      <c r="B218" s="132"/>
      <c r="C218" s="133"/>
      <c r="D218" s="132"/>
      <c r="E218" s="134"/>
      <c r="F218" s="135"/>
      <c r="G218" s="135"/>
    </row>
    <row r="219" spans="1:7" s="25" customFormat="1" ht="15" customHeight="1">
      <c r="A219" s="132"/>
      <c r="B219" s="132"/>
      <c r="C219" s="133"/>
      <c r="D219" s="132"/>
      <c r="E219" s="134"/>
      <c r="F219" s="135"/>
      <c r="G219" s="135"/>
    </row>
    <row r="220" spans="1:7" s="25" customFormat="1" ht="15" customHeight="1">
      <c r="A220" s="132"/>
      <c r="B220" s="132"/>
      <c r="C220" s="133"/>
      <c r="D220" s="132"/>
      <c r="E220" s="134"/>
      <c r="F220" s="135"/>
      <c r="G220" s="135"/>
    </row>
    <row r="221" spans="1:7" s="25" customFormat="1" ht="15" customHeight="1">
      <c r="A221" s="132"/>
      <c r="B221" s="132"/>
      <c r="C221" s="133"/>
      <c r="D221" s="132"/>
      <c r="E221" s="134"/>
      <c r="F221" s="135"/>
      <c r="G221" s="135"/>
    </row>
    <row r="222" spans="1:7" s="25" customFormat="1" ht="15" customHeight="1">
      <c r="A222" s="132"/>
      <c r="B222" s="132"/>
      <c r="C222" s="133"/>
      <c r="D222" s="132"/>
      <c r="E222" s="134"/>
      <c r="F222" s="135"/>
      <c r="G222" s="135"/>
    </row>
    <row r="223" spans="1:7" s="25" customFormat="1" ht="15" customHeight="1">
      <c r="A223" s="132"/>
      <c r="B223" s="132"/>
      <c r="C223" s="133"/>
      <c r="D223" s="132"/>
      <c r="E223" s="134"/>
      <c r="F223" s="135"/>
      <c r="G223" s="135"/>
    </row>
    <row r="224" spans="1:7" s="25" customFormat="1" ht="15" customHeight="1">
      <c r="A224" s="132"/>
      <c r="B224" s="132"/>
      <c r="C224" s="133"/>
      <c r="D224" s="132"/>
      <c r="E224" s="134"/>
      <c r="F224" s="135"/>
      <c r="G224" s="135"/>
    </row>
    <row r="225" spans="1:7" s="25" customFormat="1" ht="15" customHeight="1">
      <c r="A225" s="132"/>
      <c r="B225" s="132"/>
      <c r="C225" s="133"/>
      <c r="D225" s="132"/>
      <c r="E225" s="134"/>
      <c r="F225" s="135"/>
      <c r="G225" s="135"/>
    </row>
    <row r="226" spans="1:7" s="25" customFormat="1" ht="15" customHeight="1">
      <c r="A226" s="132"/>
      <c r="B226" s="132"/>
      <c r="C226" s="133"/>
      <c r="D226" s="132"/>
      <c r="E226" s="134"/>
      <c r="F226" s="135"/>
      <c r="G226" s="135"/>
    </row>
    <row r="227" spans="1:7" s="25" customFormat="1" ht="15" customHeight="1">
      <c r="A227" s="132"/>
      <c r="B227" s="132"/>
      <c r="C227" s="133"/>
      <c r="D227" s="132"/>
      <c r="E227" s="134"/>
      <c r="F227" s="135"/>
      <c r="G227" s="135"/>
    </row>
    <row r="228" spans="1:7" s="25" customFormat="1" ht="15" customHeight="1">
      <c r="A228" s="132"/>
      <c r="B228" s="132"/>
      <c r="C228" s="133"/>
      <c r="D228" s="132"/>
      <c r="E228" s="134"/>
      <c r="F228" s="135"/>
      <c r="G228" s="135"/>
    </row>
    <row r="229" spans="1:7" s="25" customFormat="1" ht="15" customHeight="1">
      <c r="A229" s="132"/>
      <c r="B229" s="132"/>
      <c r="C229" s="133"/>
      <c r="D229" s="132"/>
      <c r="E229" s="134"/>
      <c r="F229" s="135"/>
      <c r="G229" s="135"/>
    </row>
    <row r="230" spans="1:7" s="25" customFormat="1" ht="15" customHeight="1">
      <c r="A230" s="132"/>
      <c r="B230" s="132"/>
      <c r="C230" s="133"/>
      <c r="D230" s="132"/>
      <c r="E230" s="134"/>
      <c r="F230" s="135"/>
      <c r="G230" s="135"/>
    </row>
    <row r="231" spans="1:7" s="25" customFormat="1" ht="15" customHeight="1">
      <c r="A231" s="132"/>
      <c r="B231" s="132"/>
      <c r="C231" s="133"/>
      <c r="D231" s="132"/>
      <c r="E231" s="134"/>
      <c r="F231" s="135"/>
      <c r="G231" s="135"/>
    </row>
    <row r="232" spans="1:7" s="25" customFormat="1" ht="15" customHeight="1">
      <c r="A232" s="132"/>
      <c r="B232" s="132"/>
      <c r="C232" s="133"/>
      <c r="D232" s="132"/>
      <c r="E232" s="134"/>
      <c r="F232" s="135"/>
      <c r="G232" s="135"/>
    </row>
    <row r="233" spans="1:7" s="25" customFormat="1" ht="15" customHeight="1">
      <c r="A233" s="132"/>
      <c r="B233" s="132"/>
      <c r="C233" s="133"/>
      <c r="D233" s="132"/>
      <c r="E233" s="134"/>
      <c r="F233" s="135"/>
      <c r="G233" s="135"/>
    </row>
    <row r="234" spans="1:7" s="25" customFormat="1" ht="15" customHeight="1">
      <c r="A234" s="132"/>
      <c r="B234" s="132"/>
      <c r="C234" s="133"/>
      <c r="D234" s="132"/>
      <c r="E234" s="134"/>
      <c r="F234" s="135"/>
      <c r="G234" s="135"/>
    </row>
    <row r="235" spans="1:7" s="25" customFormat="1" ht="15" customHeight="1">
      <c r="A235" s="132"/>
      <c r="B235" s="132"/>
      <c r="C235" s="133"/>
      <c r="D235" s="132"/>
      <c r="E235" s="134"/>
      <c r="F235" s="135"/>
      <c r="G235" s="135"/>
    </row>
    <row r="236" spans="1:7" s="25" customFormat="1" ht="15" customHeight="1">
      <c r="A236" s="132"/>
      <c r="B236" s="132"/>
      <c r="C236" s="133"/>
      <c r="D236" s="132"/>
      <c r="E236" s="134"/>
      <c r="F236" s="135"/>
      <c r="G236" s="135"/>
    </row>
    <row r="237" spans="1:7" s="25" customFormat="1" ht="15" customHeight="1">
      <c r="A237" s="132"/>
      <c r="B237" s="132"/>
      <c r="C237" s="133"/>
      <c r="D237" s="132"/>
      <c r="E237" s="134"/>
      <c r="F237" s="135"/>
      <c r="G237" s="135"/>
    </row>
    <row r="238" spans="1:7" s="25" customFormat="1" ht="15" customHeight="1">
      <c r="A238" s="132"/>
      <c r="B238" s="132"/>
      <c r="C238" s="133"/>
      <c r="D238" s="132"/>
      <c r="E238" s="134"/>
      <c r="F238" s="135"/>
      <c r="G238" s="135"/>
    </row>
    <row r="239" spans="1:7" s="25" customFormat="1" ht="15" customHeight="1">
      <c r="A239" s="132"/>
      <c r="B239" s="132"/>
      <c r="C239" s="133"/>
      <c r="D239" s="132"/>
      <c r="E239" s="134"/>
      <c r="F239" s="135"/>
      <c r="G239" s="135"/>
    </row>
    <row r="240" spans="1:7" s="25" customFormat="1" ht="15" customHeight="1">
      <c r="A240" s="132"/>
      <c r="B240" s="132"/>
      <c r="C240" s="133"/>
      <c r="D240" s="132"/>
      <c r="E240" s="134"/>
      <c r="F240" s="135"/>
      <c r="G240" s="135"/>
    </row>
    <row r="241" spans="1:7" s="25" customFormat="1" ht="15" customHeight="1">
      <c r="A241" s="132"/>
      <c r="B241" s="132"/>
      <c r="C241" s="133"/>
      <c r="D241" s="132"/>
      <c r="E241" s="134"/>
      <c r="F241" s="135"/>
      <c r="G241" s="135"/>
    </row>
    <row r="242" spans="1:7" s="25" customFormat="1" ht="15" customHeight="1">
      <c r="A242" s="132"/>
      <c r="B242" s="132"/>
      <c r="C242" s="133"/>
      <c r="D242" s="132"/>
      <c r="E242" s="134"/>
      <c r="F242" s="135"/>
      <c r="G242" s="135"/>
    </row>
    <row r="243" spans="1:7" s="25" customFormat="1" ht="15" customHeight="1">
      <c r="A243" s="132"/>
      <c r="B243" s="132"/>
      <c r="C243" s="133"/>
      <c r="D243" s="132"/>
      <c r="E243" s="134"/>
      <c r="F243" s="135"/>
      <c r="G243" s="135"/>
    </row>
    <row r="244" spans="1:7" s="25" customFormat="1" ht="15" customHeight="1">
      <c r="A244" s="132"/>
      <c r="B244" s="132"/>
      <c r="C244" s="133"/>
      <c r="D244" s="132"/>
      <c r="E244" s="134"/>
      <c r="F244" s="135"/>
      <c r="G244" s="135"/>
    </row>
    <row r="245" spans="1:7" s="25" customFormat="1" ht="15" customHeight="1">
      <c r="A245" s="132"/>
      <c r="B245" s="132"/>
      <c r="C245" s="133"/>
      <c r="D245" s="132"/>
      <c r="E245" s="134"/>
      <c r="F245" s="135"/>
      <c r="G245" s="135"/>
    </row>
    <row r="246" spans="1:7" s="25" customFormat="1" ht="15" customHeight="1">
      <c r="A246" s="132"/>
      <c r="B246" s="132"/>
      <c r="C246" s="133"/>
      <c r="D246" s="132"/>
      <c r="E246" s="134"/>
      <c r="F246" s="135"/>
      <c r="G246" s="135"/>
    </row>
    <row r="247" spans="1:7" s="25" customFormat="1" ht="15" customHeight="1">
      <c r="A247" s="132"/>
      <c r="B247" s="132"/>
      <c r="C247" s="133"/>
      <c r="D247" s="132"/>
      <c r="E247" s="134"/>
      <c r="F247" s="135"/>
      <c r="G247" s="135"/>
    </row>
    <row r="248" spans="1:7" s="25" customFormat="1" ht="15" customHeight="1">
      <c r="A248" s="132"/>
      <c r="B248" s="132"/>
      <c r="C248" s="133"/>
      <c r="D248" s="132"/>
      <c r="E248" s="134"/>
      <c r="F248" s="135"/>
      <c r="G248" s="135"/>
    </row>
    <row r="249" spans="1:7" s="25" customFormat="1" ht="15" customHeight="1">
      <c r="A249" s="132"/>
      <c r="B249" s="132"/>
      <c r="C249" s="133"/>
      <c r="D249" s="132"/>
      <c r="E249" s="134"/>
      <c r="F249" s="135"/>
      <c r="G249" s="135"/>
    </row>
    <row r="250" spans="1:7" s="25" customFormat="1" ht="15" customHeight="1">
      <c r="A250" s="132"/>
      <c r="B250" s="132"/>
      <c r="C250" s="133"/>
      <c r="D250" s="132"/>
      <c r="E250" s="134"/>
      <c r="F250" s="135"/>
      <c r="G250" s="135"/>
    </row>
    <row r="251" spans="1:7" s="25" customFormat="1" ht="15" customHeight="1">
      <c r="A251" s="132"/>
      <c r="B251" s="132"/>
      <c r="C251" s="133"/>
      <c r="D251" s="132"/>
      <c r="E251" s="134"/>
      <c r="F251" s="135"/>
      <c r="G251" s="135"/>
    </row>
    <row r="252" spans="1:7" s="25" customFormat="1" ht="15" customHeight="1">
      <c r="A252" s="132"/>
      <c r="B252" s="132"/>
      <c r="C252" s="133"/>
      <c r="D252" s="132"/>
      <c r="E252" s="134"/>
      <c r="F252" s="135"/>
      <c r="G252" s="135"/>
    </row>
    <row r="253" spans="1:7" s="25" customFormat="1" ht="15" customHeight="1">
      <c r="A253" s="132"/>
      <c r="B253" s="132"/>
      <c r="C253" s="133"/>
      <c r="D253" s="132"/>
      <c r="E253" s="134"/>
      <c r="F253" s="135"/>
      <c r="G253" s="135"/>
    </row>
    <row r="254" spans="1:7" s="25" customFormat="1" ht="15" customHeight="1">
      <c r="A254" s="132"/>
      <c r="B254" s="132"/>
      <c r="C254" s="133"/>
      <c r="D254" s="132"/>
      <c r="E254" s="134"/>
      <c r="F254" s="135"/>
      <c r="G254" s="135"/>
    </row>
    <row r="255" spans="1:7" s="25" customFormat="1" ht="15" customHeight="1">
      <c r="A255" s="132"/>
      <c r="B255" s="132"/>
      <c r="C255" s="133"/>
      <c r="D255" s="132"/>
      <c r="E255" s="134"/>
      <c r="F255" s="135"/>
      <c r="G255" s="135"/>
    </row>
    <row r="256" spans="1:7" s="25" customFormat="1" ht="15" customHeight="1">
      <c r="A256" s="132"/>
      <c r="B256" s="132"/>
      <c r="C256" s="133"/>
      <c r="D256" s="132"/>
      <c r="E256" s="134"/>
      <c r="F256" s="135"/>
      <c r="G256" s="135"/>
    </row>
    <row r="257" spans="1:7" s="25" customFormat="1" ht="15" customHeight="1">
      <c r="A257" s="132"/>
      <c r="B257" s="132"/>
      <c r="C257" s="133"/>
      <c r="D257" s="132"/>
      <c r="E257" s="134"/>
      <c r="F257" s="135"/>
      <c r="G257" s="135"/>
    </row>
    <row r="258" spans="1:7" s="25" customFormat="1" ht="15" customHeight="1">
      <c r="A258" s="132"/>
      <c r="B258" s="132"/>
      <c r="C258" s="133"/>
      <c r="D258" s="132"/>
      <c r="E258" s="134"/>
      <c r="F258" s="135"/>
      <c r="G258" s="135"/>
    </row>
    <row r="259" spans="1:7" s="25" customFormat="1" ht="15" customHeight="1">
      <c r="A259" s="132"/>
      <c r="B259" s="132"/>
      <c r="C259" s="133"/>
      <c r="D259" s="132"/>
      <c r="E259" s="134"/>
      <c r="F259" s="135"/>
      <c r="G259" s="135"/>
    </row>
    <row r="260" spans="1:7" s="25" customFormat="1" ht="15" customHeight="1">
      <c r="A260" s="132"/>
      <c r="B260" s="132"/>
      <c r="C260" s="133"/>
      <c r="D260" s="132"/>
      <c r="E260" s="134"/>
      <c r="F260" s="135"/>
      <c r="G260" s="135"/>
    </row>
    <row r="261" spans="1:7" s="25" customFormat="1" ht="15" customHeight="1">
      <c r="A261" s="132"/>
      <c r="B261" s="132"/>
      <c r="C261" s="133"/>
      <c r="D261" s="132"/>
      <c r="E261" s="134"/>
      <c r="F261" s="135"/>
      <c r="G261" s="135"/>
    </row>
    <row r="262" spans="1:7" s="25" customFormat="1" ht="15" customHeight="1">
      <c r="A262" s="132"/>
      <c r="B262" s="132"/>
      <c r="C262" s="133"/>
      <c r="D262" s="132"/>
      <c r="E262" s="134"/>
      <c r="F262" s="135"/>
      <c r="G262" s="135"/>
    </row>
    <row r="263" spans="1:7" s="25" customFormat="1" ht="15" customHeight="1">
      <c r="A263" s="132"/>
      <c r="B263" s="132"/>
      <c r="C263" s="133"/>
      <c r="D263" s="132"/>
      <c r="E263" s="134"/>
      <c r="F263" s="135"/>
      <c r="G263" s="135"/>
    </row>
  </sheetData>
  <mergeCells count="4">
    <mergeCell ref="A1:G1"/>
    <mergeCell ref="A2:G2"/>
    <mergeCell ref="A3:G3"/>
    <mergeCell ref="A7:G7"/>
  </mergeCells>
  <printOptions horizontalCentered="1"/>
  <pageMargins left="0.51181102362204722" right="0.39370078740157483" top="0.51181102362204722" bottom="0.98425196850393704" header="0.15748031496062992" footer="0.78740157480314965"/>
  <pageSetup scale="65" orientation="portrait" r:id="rId1"/>
  <headerFooter alignWithMargins="0">
    <oddFooter>&amp;L&amp;9&amp;F&amp;Z&amp;R&amp;11&amp;Pde&amp;N</oddFooter>
  </headerFooter>
  <rowBreaks count="4" manualBreakCount="4">
    <brk id="35" max="6" man="1"/>
    <brk id="65" max="6" man="1"/>
    <brk id="92" max="6" man="1"/>
    <brk id="13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34F-7B07-4558-96EB-9306A3C761E6}">
  <sheetPr transitionEvaluation="1"/>
  <dimension ref="A1:K240"/>
  <sheetViews>
    <sheetView showGridLines="0" showZeros="0" tabSelected="1" view="pageBreakPreview" topLeftCell="A110" zoomScale="85" zoomScaleSheetLayoutView="85" workbookViewId="0">
      <selection activeCell="I121" sqref="I121"/>
    </sheetView>
  </sheetViews>
  <sheetFormatPr defaultColWidth="11.5546875" defaultRowHeight="15" customHeight="1"/>
  <cols>
    <col min="1" max="1" width="8.33203125" style="31" customWidth="1"/>
    <col min="2" max="2" width="49.21875" style="32" customWidth="1"/>
    <col min="3" max="3" width="12.88671875" style="60" customWidth="1"/>
    <col min="4" max="4" width="8.109375" style="34" customWidth="1"/>
    <col min="5" max="5" width="12.88671875" style="33" customWidth="1"/>
    <col min="6" max="6" width="15.109375" style="57" customWidth="1"/>
    <col min="7" max="7" width="17.88671875" style="56" customWidth="1"/>
    <col min="8" max="8" width="18.77734375" style="25" customWidth="1"/>
    <col min="9" max="9" width="19.5546875" style="25" customWidth="1"/>
    <col min="10" max="10" width="19.88671875" style="25" customWidth="1"/>
    <col min="11" max="11" width="10.77734375" style="25" customWidth="1"/>
    <col min="12" max="16384" width="11.5546875" style="32"/>
  </cols>
  <sheetData>
    <row r="1" spans="1:8" ht="21" customHeight="1">
      <c r="A1" s="518" t="s">
        <v>114</v>
      </c>
      <c r="B1" s="518"/>
      <c r="C1" s="518"/>
      <c r="D1" s="518"/>
      <c r="E1" s="518"/>
      <c r="F1" s="518"/>
      <c r="G1" s="518"/>
    </row>
    <row r="2" spans="1:8" ht="18.75" customHeight="1">
      <c r="A2" s="518" t="s">
        <v>115</v>
      </c>
      <c r="B2" s="518"/>
      <c r="C2" s="518"/>
      <c r="D2" s="518"/>
      <c r="E2" s="518"/>
      <c r="F2" s="518"/>
      <c r="G2" s="518"/>
    </row>
    <row r="3" spans="1:8" ht="15.75" customHeight="1">
      <c r="A3" s="519" t="s">
        <v>116</v>
      </c>
      <c r="B3" s="519"/>
      <c r="C3" s="519"/>
      <c r="D3" s="519"/>
      <c r="E3" s="519"/>
      <c r="F3" s="519"/>
      <c r="G3" s="519"/>
    </row>
    <row r="4" spans="1:8" ht="15" customHeight="1">
      <c r="A4" s="117"/>
      <c r="B4" s="118"/>
      <c r="C4" s="119"/>
      <c r="D4" s="120"/>
      <c r="E4" s="121"/>
      <c r="F4" s="122"/>
      <c r="G4" s="123"/>
    </row>
    <row r="5" spans="1:8" s="125" customFormat="1" ht="18">
      <c r="A5" s="124"/>
      <c r="B5" s="118"/>
      <c r="C5" s="119"/>
      <c r="D5" s="120"/>
      <c r="E5" s="121"/>
      <c r="F5" s="122"/>
      <c r="G5" s="123"/>
    </row>
    <row r="6" spans="1:8" ht="41.25" customHeight="1">
      <c r="A6" s="520" t="s">
        <v>228</v>
      </c>
      <c r="B6" s="520"/>
      <c r="C6" s="520"/>
      <c r="D6" s="520"/>
      <c r="E6" s="520"/>
      <c r="F6" s="520"/>
      <c r="G6" s="520"/>
    </row>
    <row r="7" spans="1:8" ht="13.5" customHeight="1" thickBot="1">
      <c r="A7" s="126"/>
      <c r="B7" s="127"/>
      <c r="C7" s="128"/>
      <c r="D7" s="127"/>
      <c r="E7" s="129"/>
      <c r="F7" s="130"/>
      <c r="G7" s="131"/>
    </row>
    <row r="8" spans="1:8" ht="18.75" customHeight="1" thickTop="1" thickBot="1">
      <c r="A8" s="26" t="s">
        <v>2</v>
      </c>
      <c r="B8" s="27" t="s">
        <v>119</v>
      </c>
      <c r="C8" s="55" t="s">
        <v>120</v>
      </c>
      <c r="D8" s="27" t="s">
        <v>121</v>
      </c>
      <c r="E8" s="28" t="s">
        <v>122</v>
      </c>
      <c r="F8" s="55" t="s">
        <v>123</v>
      </c>
      <c r="G8" s="58" t="s">
        <v>124</v>
      </c>
      <c r="H8" s="29"/>
    </row>
    <row r="9" spans="1:8" ht="22.5" customHeight="1" thickTop="1">
      <c r="A9" s="364"/>
      <c r="B9" s="365"/>
      <c r="C9" s="366"/>
      <c r="D9" s="367"/>
      <c r="E9" s="368"/>
      <c r="F9" s="369"/>
      <c r="G9" s="370"/>
      <c r="H9" s="29"/>
    </row>
    <row r="10" spans="1:8" ht="22.5" customHeight="1">
      <c r="A10" s="394">
        <v>1</v>
      </c>
      <c r="B10" s="395" t="s">
        <v>125</v>
      </c>
      <c r="C10" s="396"/>
      <c r="D10" s="397"/>
      <c r="E10" s="398"/>
      <c r="F10" s="399"/>
      <c r="G10" s="400"/>
      <c r="H10" s="29"/>
    </row>
    <row r="11" spans="1:8" ht="22.5" customHeight="1">
      <c r="A11" s="401">
        <f>+A10+0.1</f>
        <v>1.1000000000000001</v>
      </c>
      <c r="B11" s="402" t="s">
        <v>126</v>
      </c>
      <c r="C11" s="403">
        <v>6</v>
      </c>
      <c r="D11" s="397" t="s">
        <v>127</v>
      </c>
      <c r="E11" s="404"/>
      <c r="F11" s="405">
        <f t="shared" ref="F11:F20" si="0">+C11*E11</f>
        <v>0</v>
      </c>
      <c r="G11" s="400"/>
      <c r="H11" s="29"/>
    </row>
    <row r="12" spans="1:8" ht="34.5" customHeight="1">
      <c r="A12" s="401">
        <f>+A11+0.1</f>
        <v>1.2</v>
      </c>
      <c r="B12" s="402" t="s">
        <v>128</v>
      </c>
      <c r="C12" s="403">
        <v>1</v>
      </c>
      <c r="D12" s="397" t="s">
        <v>129</v>
      </c>
      <c r="E12" s="404"/>
      <c r="F12" s="405">
        <f t="shared" si="0"/>
        <v>0</v>
      </c>
      <c r="G12" s="400"/>
      <c r="H12" s="29"/>
    </row>
    <row r="13" spans="1:8" ht="21.75" customHeight="1">
      <c r="A13" s="401">
        <f>+A12+0.1</f>
        <v>1.3</v>
      </c>
      <c r="B13" s="402" t="s">
        <v>130</v>
      </c>
      <c r="C13" s="406">
        <v>200</v>
      </c>
      <c r="D13" s="397" t="s">
        <v>131</v>
      </c>
      <c r="E13" s="404"/>
      <c r="F13" s="405">
        <f t="shared" si="0"/>
        <v>0</v>
      </c>
      <c r="G13" s="400"/>
      <c r="H13" s="29"/>
    </row>
    <row r="14" spans="1:8" ht="36" customHeight="1">
      <c r="A14" s="401">
        <f>+A13+0.1</f>
        <v>1.4</v>
      </c>
      <c r="B14" s="402" t="s">
        <v>132</v>
      </c>
      <c r="C14" s="406">
        <v>1</v>
      </c>
      <c r="D14" s="397" t="s">
        <v>129</v>
      </c>
      <c r="E14" s="404"/>
      <c r="F14" s="405">
        <f t="shared" si="0"/>
        <v>0</v>
      </c>
      <c r="G14" s="400"/>
      <c r="H14" s="29"/>
    </row>
    <row r="15" spans="1:8" ht="42.75" customHeight="1">
      <c r="A15" s="401">
        <f>+A14+0.1</f>
        <v>1.5</v>
      </c>
      <c r="B15" s="402" t="s">
        <v>133</v>
      </c>
      <c r="C15" s="403">
        <v>6</v>
      </c>
      <c r="D15" s="397" t="s">
        <v>127</v>
      </c>
      <c r="E15" s="404"/>
      <c r="F15" s="405">
        <f t="shared" si="0"/>
        <v>0</v>
      </c>
      <c r="G15" s="400">
        <f>SUM(F11:F15)</f>
        <v>0</v>
      </c>
      <c r="H15" s="29"/>
    </row>
    <row r="16" spans="1:8" ht="18" customHeight="1">
      <c r="A16" s="426"/>
      <c r="B16" s="423"/>
      <c r="C16" s="425"/>
      <c r="D16" s="420"/>
      <c r="E16" s="421"/>
      <c r="F16" s="424"/>
      <c r="G16" s="422"/>
      <c r="H16" s="29"/>
    </row>
    <row r="17" spans="1:9" ht="25.5" customHeight="1">
      <c r="A17" s="394">
        <v>2</v>
      </c>
      <c r="B17" s="395" t="s">
        <v>134</v>
      </c>
      <c r="C17" s="406"/>
      <c r="D17" s="397"/>
      <c r="E17" s="398"/>
      <c r="F17" s="405"/>
      <c r="G17" s="400"/>
      <c r="H17" s="29"/>
    </row>
    <row r="18" spans="1:9" ht="25.5" customHeight="1">
      <c r="A18" s="401">
        <f>+A17+0.1</f>
        <v>2.1</v>
      </c>
      <c r="B18" s="402" t="s">
        <v>135</v>
      </c>
      <c r="C18" s="406">
        <v>1</v>
      </c>
      <c r="D18" s="397" t="s">
        <v>129</v>
      </c>
      <c r="E18" s="404"/>
      <c r="F18" s="405">
        <f t="shared" si="0"/>
        <v>0</v>
      </c>
      <c r="G18" s="400"/>
      <c r="H18" s="29"/>
    </row>
    <row r="19" spans="1:9" ht="25.5" customHeight="1">
      <c r="A19" s="401">
        <f>+A18+0.1</f>
        <v>2.2000000000000002</v>
      </c>
      <c r="B19" s="402" t="s">
        <v>136</v>
      </c>
      <c r="C19" s="406">
        <v>1</v>
      </c>
      <c r="D19" s="397" t="s">
        <v>129</v>
      </c>
      <c r="E19" s="404"/>
      <c r="F19" s="405">
        <f>+C19*E19</f>
        <v>0</v>
      </c>
      <c r="G19" s="400"/>
      <c r="H19" s="29"/>
      <c r="I19" s="288"/>
    </row>
    <row r="20" spans="1:9" ht="25.5" customHeight="1">
      <c r="A20" s="401">
        <f>+A19+0.1</f>
        <v>2.2999999999999998</v>
      </c>
      <c r="B20" s="402" t="s">
        <v>137</v>
      </c>
      <c r="C20" s="406">
        <v>35</v>
      </c>
      <c r="D20" s="397" t="s">
        <v>138</v>
      </c>
      <c r="E20" s="404"/>
      <c r="F20" s="405">
        <f t="shared" si="0"/>
        <v>0</v>
      </c>
      <c r="G20" s="400">
        <f>SUM(F18:F20)</f>
        <v>0</v>
      </c>
      <c r="H20" s="29"/>
      <c r="I20" s="288"/>
    </row>
    <row r="21" spans="1:9" ht="18" customHeight="1">
      <c r="A21" s="371"/>
      <c r="B21" s="372"/>
      <c r="C21" s="338"/>
      <c r="D21" s="373"/>
      <c r="E21" s="339"/>
      <c r="F21" s="374"/>
      <c r="G21" s="375"/>
      <c r="H21" s="29"/>
    </row>
    <row r="22" spans="1:9" ht="25.5" customHeight="1">
      <c r="A22" s="384">
        <v>3</v>
      </c>
      <c r="B22" s="385" t="s">
        <v>139</v>
      </c>
      <c r="C22" s="386"/>
      <c r="D22" s="387"/>
      <c r="E22" s="388"/>
      <c r="F22" s="389" t="str">
        <f t="shared" ref="F22:F52" si="1">IF(E22=0," ",(ROUND(C22*E22,2)))</f>
        <v xml:space="preserve"> </v>
      </c>
      <c r="G22" s="390"/>
      <c r="H22" s="29"/>
    </row>
    <row r="23" spans="1:9" ht="25.5" customHeight="1">
      <c r="A23" s="391">
        <f>A22+0.1</f>
        <v>3.1</v>
      </c>
      <c r="B23" s="387" t="s">
        <v>140</v>
      </c>
      <c r="C23" s="386">
        <f>'TABLA SANITARIA FASE A'!M105</f>
        <v>42144.3</v>
      </c>
      <c r="D23" s="392" t="s">
        <v>113</v>
      </c>
      <c r="E23" s="388"/>
      <c r="F23" s="393" t="str">
        <f t="shared" si="1"/>
        <v xml:space="preserve"> </v>
      </c>
      <c r="G23" s="390"/>
      <c r="H23" s="29"/>
    </row>
    <row r="24" spans="1:9" ht="25.5" customHeight="1">
      <c r="A24" s="391">
        <f t="shared" ref="A24:A28" si="2">A23+0.1</f>
        <v>3.2</v>
      </c>
      <c r="B24" s="387" t="s">
        <v>141</v>
      </c>
      <c r="C24" s="386">
        <f>'TABLA SANITARIA FASE A'!N105</f>
        <v>945.07</v>
      </c>
      <c r="D24" s="392" t="s">
        <v>113</v>
      </c>
      <c r="E24" s="388"/>
      <c r="F24" s="393" t="str">
        <f>IF(E24=0," ",(ROUND(C24*E24,2)))</f>
        <v xml:space="preserve"> </v>
      </c>
      <c r="G24" s="390"/>
      <c r="H24" s="29"/>
    </row>
    <row r="25" spans="1:9" ht="25.5" customHeight="1">
      <c r="A25" s="391">
        <f t="shared" si="2"/>
        <v>3.3</v>
      </c>
      <c r="B25" s="387" t="s">
        <v>142</v>
      </c>
      <c r="C25" s="386">
        <f>'TABLA SANITARIA FASE A'!P105</f>
        <v>34719.550000000003</v>
      </c>
      <c r="D25" s="392" t="s">
        <v>113</v>
      </c>
      <c r="E25" s="388"/>
      <c r="F25" s="393" t="str">
        <f>IF(E25=0," ",(ROUND(C25*E25,2)))</f>
        <v xml:space="preserve"> </v>
      </c>
      <c r="G25" s="390"/>
      <c r="H25" s="29"/>
    </row>
    <row r="26" spans="1:9" ht="25.5" customHeight="1">
      <c r="A26" s="391">
        <f t="shared" si="2"/>
        <v>3.4</v>
      </c>
      <c r="B26" s="387" t="s">
        <v>143</v>
      </c>
      <c r="C26" s="386">
        <f>'TABLA SANITARIA FASE A'!U123</f>
        <v>1125</v>
      </c>
      <c r="D26" s="392" t="s">
        <v>113</v>
      </c>
      <c r="E26" s="388"/>
      <c r="F26" s="393" t="str">
        <f>IF(E26=0," ",(ROUND(C26*E26,2)))</f>
        <v xml:space="preserve"> </v>
      </c>
      <c r="G26" s="390"/>
      <c r="H26" s="29"/>
    </row>
    <row r="27" spans="1:9" ht="25.5" customHeight="1">
      <c r="A27" s="391">
        <f t="shared" si="2"/>
        <v>3.5</v>
      </c>
      <c r="B27" s="387" t="s">
        <v>144</v>
      </c>
      <c r="C27" s="386">
        <f>'TABLA SANITARIA FASE A'!P105</f>
        <v>34719.550000000003</v>
      </c>
      <c r="D27" s="392" t="s">
        <v>113</v>
      </c>
      <c r="E27" s="388"/>
      <c r="F27" s="393" t="str">
        <f t="shared" si="1"/>
        <v xml:space="preserve"> </v>
      </c>
      <c r="G27" s="390"/>
      <c r="H27" s="29"/>
    </row>
    <row r="28" spans="1:9" ht="25.5" customHeight="1">
      <c r="A28" s="391">
        <f t="shared" si="2"/>
        <v>3.6</v>
      </c>
      <c r="B28" s="387" t="s">
        <v>145</v>
      </c>
      <c r="C28" s="386">
        <f>'TABLA SANITARIA FASE A'!S105</f>
        <v>26858.94</v>
      </c>
      <c r="D28" s="392" t="s">
        <v>113</v>
      </c>
      <c r="E28" s="388"/>
      <c r="F28" s="393" t="str">
        <f t="shared" si="1"/>
        <v xml:space="preserve"> </v>
      </c>
      <c r="G28" s="390">
        <f>SUM(F23:F28)</f>
        <v>0</v>
      </c>
      <c r="H28" s="29"/>
    </row>
    <row r="29" spans="1:9" ht="18" customHeight="1">
      <c r="A29" s="464"/>
      <c r="B29" s="387"/>
      <c r="C29" s="386"/>
      <c r="D29" s="387"/>
      <c r="E29" s="388"/>
      <c r="F29" s="393" t="str">
        <f t="shared" si="1"/>
        <v xml:space="preserve"> </v>
      </c>
      <c r="G29" s="390"/>
      <c r="H29" s="29"/>
    </row>
    <row r="30" spans="1:9" ht="25.5" customHeight="1">
      <c r="A30" s="384">
        <v>4</v>
      </c>
      <c r="B30" s="385" t="s">
        <v>146</v>
      </c>
      <c r="C30" s="386"/>
      <c r="D30" s="387"/>
      <c r="E30" s="388"/>
      <c r="F30" s="393" t="str">
        <f t="shared" si="1"/>
        <v xml:space="preserve"> </v>
      </c>
      <c r="G30" s="390"/>
      <c r="H30" s="29"/>
    </row>
    <row r="31" spans="1:9" ht="25.5" customHeight="1">
      <c r="A31" s="391">
        <f>A30+0.1</f>
        <v>4.0999999999999996</v>
      </c>
      <c r="B31" s="387" t="s">
        <v>229</v>
      </c>
      <c r="C31" s="386">
        <f>+'TABLA SANITARIA'!D115/2</f>
        <v>291.92</v>
      </c>
      <c r="D31" s="392" t="s">
        <v>131</v>
      </c>
      <c r="E31" s="388"/>
      <c r="F31" s="393" t="str">
        <f>IF(E31=0," ",(ROUND(C31*E31,2)))</f>
        <v xml:space="preserve"> </v>
      </c>
      <c r="G31" s="390"/>
      <c r="H31" s="29"/>
    </row>
    <row r="32" spans="1:9" ht="25.5" customHeight="1">
      <c r="A32" s="391">
        <f t="shared" ref="A32:A34" si="3">A31+0.1</f>
        <v>4.2</v>
      </c>
      <c r="B32" s="387" t="s">
        <v>230</v>
      </c>
      <c r="C32" s="386">
        <f>+'TABLA SANITARIA'!D112/2</f>
        <v>183.13</v>
      </c>
      <c r="D32" s="392" t="s">
        <v>131</v>
      </c>
      <c r="E32" s="388"/>
      <c r="F32" s="393" t="str">
        <f>IF(E32=0," ",(ROUND(C32*E32,2)))</f>
        <v xml:space="preserve"> </v>
      </c>
      <c r="G32" s="390"/>
      <c r="H32" s="29"/>
    </row>
    <row r="33" spans="1:8" ht="25.5" customHeight="1">
      <c r="A33" s="391">
        <f t="shared" si="3"/>
        <v>4.3</v>
      </c>
      <c r="B33" s="387" t="s">
        <v>231</v>
      </c>
      <c r="C33" s="386">
        <f>+'TABLA SANITARIA'!D109/2</f>
        <v>141.94999999999999</v>
      </c>
      <c r="D33" s="392" t="s">
        <v>131</v>
      </c>
      <c r="E33" s="388"/>
      <c r="F33" s="393" t="str">
        <f>IF(E33=0," ",(ROUND(C33*E33,2)))</f>
        <v xml:space="preserve"> </v>
      </c>
      <c r="G33" s="390"/>
      <c r="H33" s="29"/>
    </row>
    <row r="34" spans="1:8" ht="25.5" customHeight="1">
      <c r="A34" s="391">
        <f t="shared" si="3"/>
        <v>4.4000000000000004</v>
      </c>
      <c r="B34" s="387" t="s">
        <v>147</v>
      </c>
      <c r="C34" s="386">
        <f>'TABLA SANITARIA FASE A'!D100</f>
        <v>2923.97</v>
      </c>
      <c r="D34" s="392" t="s">
        <v>131</v>
      </c>
      <c r="E34" s="388"/>
      <c r="F34" s="393" t="str">
        <f>IF(E34=0," ",(ROUND(C34*E34,2)))</f>
        <v xml:space="preserve"> </v>
      </c>
      <c r="G34" s="390">
        <f>SUM(F31:F34)</f>
        <v>0</v>
      </c>
      <c r="H34" s="29"/>
    </row>
    <row r="35" spans="1:8" ht="21.75" customHeight="1">
      <c r="A35" s="391"/>
      <c r="B35" s="387"/>
      <c r="C35" s="386"/>
      <c r="D35" s="392"/>
      <c r="E35" s="388"/>
      <c r="F35" s="393"/>
      <c r="G35" s="390"/>
      <c r="H35" s="29"/>
    </row>
    <row r="36" spans="1:8" ht="21.75" customHeight="1">
      <c r="A36" s="384">
        <v>5</v>
      </c>
      <c r="B36" s="385" t="s">
        <v>148</v>
      </c>
      <c r="C36" s="386"/>
      <c r="D36" s="387"/>
      <c r="E36" s="290"/>
      <c r="F36" s="291" t="str">
        <f>IF(E36=0," ",(ROUND(C36*E36,2)))</f>
        <v xml:space="preserve"> </v>
      </c>
      <c r="G36" s="295"/>
      <c r="H36" s="29"/>
    </row>
    <row r="37" spans="1:8" ht="21.75" customHeight="1">
      <c r="A37" s="391">
        <f>A36+0.1</f>
        <v>5.0999999999999996</v>
      </c>
      <c r="B37" s="387" t="s">
        <v>229</v>
      </c>
      <c r="C37" s="386">
        <f>+C31</f>
        <v>291.92</v>
      </c>
      <c r="D37" s="392" t="s">
        <v>131</v>
      </c>
      <c r="E37" s="388"/>
      <c r="F37" s="393" t="str">
        <f>IF(E37=0," ",(ROUND(C37*E37,2)))</f>
        <v xml:space="preserve"> </v>
      </c>
      <c r="G37" s="295"/>
      <c r="H37" s="29"/>
    </row>
    <row r="38" spans="1:8" ht="21.75" customHeight="1">
      <c r="A38" s="391">
        <f t="shared" ref="A38:A40" si="4">A37+0.1</f>
        <v>5.2</v>
      </c>
      <c r="B38" s="387" t="s">
        <v>230</v>
      </c>
      <c r="C38" s="386">
        <f>+C32</f>
        <v>183.13</v>
      </c>
      <c r="D38" s="392" t="s">
        <v>131</v>
      </c>
      <c r="E38" s="465"/>
      <c r="F38" s="393" t="str">
        <f t="shared" ref="F38:F39" si="5">IF(E38=0," ",(ROUND(C38*E38,2)))</f>
        <v xml:space="preserve"> </v>
      </c>
      <c r="G38" s="295"/>
      <c r="H38" s="29"/>
    </row>
    <row r="39" spans="1:8" ht="21.75" customHeight="1">
      <c r="A39" s="391">
        <f t="shared" si="4"/>
        <v>5.3</v>
      </c>
      <c r="B39" s="387" t="s">
        <v>231</v>
      </c>
      <c r="C39" s="386">
        <f>+C33</f>
        <v>141.94999999999999</v>
      </c>
      <c r="D39" s="392" t="s">
        <v>131</v>
      </c>
      <c r="E39" s="465"/>
      <c r="F39" s="393" t="str">
        <f t="shared" si="5"/>
        <v xml:space="preserve"> </v>
      </c>
      <c r="G39" s="295"/>
      <c r="H39" s="29"/>
    </row>
    <row r="40" spans="1:8" ht="21.75" customHeight="1" thickBot="1">
      <c r="A40" s="411">
        <f t="shared" si="4"/>
        <v>5.4</v>
      </c>
      <c r="B40" s="412" t="s">
        <v>147</v>
      </c>
      <c r="C40" s="413">
        <f t="shared" ref="C40" si="6">+C34</f>
        <v>2923.97</v>
      </c>
      <c r="D40" s="414" t="s">
        <v>131</v>
      </c>
      <c r="E40" s="435"/>
      <c r="F40" s="437" t="str">
        <f>IF(E40=0," ",(ROUND(C40*E40,2)))</f>
        <v xml:space="preserve"> </v>
      </c>
      <c r="G40" s="462">
        <f>SUM(F37:F40)</f>
        <v>0</v>
      </c>
      <c r="H40" s="29"/>
    </row>
    <row r="41" spans="1:8" ht="21.75" customHeight="1">
      <c r="A41" s="361"/>
      <c r="B41" s="362"/>
      <c r="C41" s="296"/>
      <c r="D41" s="297"/>
      <c r="E41" s="363"/>
      <c r="F41" s="337"/>
      <c r="G41" s="298"/>
      <c r="H41" s="29"/>
    </row>
    <row r="42" spans="1:8" ht="65.25" customHeight="1">
      <c r="A42" s="384">
        <v>6</v>
      </c>
      <c r="B42" s="385" t="s">
        <v>232</v>
      </c>
      <c r="C42" s="386">
        <v>450</v>
      </c>
      <c r="D42" s="407" t="s">
        <v>131</v>
      </c>
      <c r="E42" s="408"/>
      <c r="F42" s="409"/>
      <c r="G42" s="410"/>
      <c r="H42" s="29"/>
    </row>
    <row r="43" spans="1:8" ht="25.5" customHeight="1">
      <c r="A43" s="391">
        <f>+A42+0.1</f>
        <v>6.1</v>
      </c>
      <c r="B43" s="387" t="s">
        <v>150</v>
      </c>
      <c r="C43" s="386">
        <f>C42*3.5*0.05</f>
        <v>78.75</v>
      </c>
      <c r="D43" s="392" t="s">
        <v>113</v>
      </c>
      <c r="E43" s="388"/>
      <c r="F43" s="393">
        <f>+E43*C43</f>
        <v>0</v>
      </c>
      <c r="G43" s="410"/>
      <c r="H43" s="29"/>
    </row>
    <row r="44" spans="1:8" ht="21.75" customHeight="1">
      <c r="A44" s="391">
        <f t="shared" ref="A44:A50" si="7">+A43+0.1</f>
        <v>6.2</v>
      </c>
      <c r="B44" s="387" t="s">
        <v>151</v>
      </c>
      <c r="C44" s="386">
        <f>C42*3.5*0.3</f>
        <v>472.5</v>
      </c>
      <c r="D44" s="392" t="s">
        <v>113</v>
      </c>
      <c r="E44" s="388"/>
      <c r="F44" s="393">
        <f t="shared" ref="F44:F50" si="8">+C44*E44</f>
        <v>0</v>
      </c>
      <c r="G44" s="410"/>
      <c r="H44" s="29"/>
    </row>
    <row r="45" spans="1:8" ht="25.5" customHeight="1">
      <c r="A45" s="391">
        <f t="shared" si="7"/>
        <v>6.3</v>
      </c>
      <c r="B45" s="387" t="s">
        <v>152</v>
      </c>
      <c r="C45" s="386">
        <f>+(C42*2*0.25)*2</f>
        <v>450</v>
      </c>
      <c r="D45" s="392" t="s">
        <v>113</v>
      </c>
      <c r="E45" s="388"/>
      <c r="F45" s="393">
        <f t="shared" si="8"/>
        <v>0</v>
      </c>
      <c r="G45" s="410"/>
      <c r="H45" s="29"/>
    </row>
    <row r="46" spans="1:8" ht="25.5" customHeight="1">
      <c r="A46" s="415">
        <f t="shared" si="7"/>
        <v>6.4</v>
      </c>
      <c r="B46" s="416" t="s">
        <v>153</v>
      </c>
      <c r="C46" s="417">
        <f>+C42*3*0.2</f>
        <v>270</v>
      </c>
      <c r="D46" s="418" t="s">
        <v>113</v>
      </c>
      <c r="E46" s="436"/>
      <c r="F46" s="438">
        <f t="shared" si="8"/>
        <v>0</v>
      </c>
      <c r="G46" s="439"/>
      <c r="H46" s="29"/>
    </row>
    <row r="47" spans="1:8" ht="25.5" customHeight="1">
      <c r="A47" s="391">
        <f t="shared" si="7"/>
        <v>6.5</v>
      </c>
      <c r="B47" s="387" t="s">
        <v>154</v>
      </c>
      <c r="C47" s="386">
        <f>+C42*2*2</f>
        <v>1800</v>
      </c>
      <c r="D47" s="392" t="s">
        <v>155</v>
      </c>
      <c r="E47" s="388"/>
      <c r="F47" s="393">
        <f t="shared" si="8"/>
        <v>0</v>
      </c>
      <c r="G47" s="410"/>
      <c r="H47" s="29"/>
    </row>
    <row r="48" spans="1:8" ht="25.5" customHeight="1">
      <c r="A48" s="391">
        <f t="shared" si="7"/>
        <v>6.6</v>
      </c>
      <c r="B48" s="387" t="s">
        <v>156</v>
      </c>
      <c r="C48" s="386">
        <f>+C42*2</f>
        <v>900</v>
      </c>
      <c r="D48" s="392" t="s">
        <v>131</v>
      </c>
      <c r="E48" s="388"/>
      <c r="F48" s="393">
        <f t="shared" si="8"/>
        <v>0</v>
      </c>
      <c r="G48" s="410"/>
      <c r="H48" s="29"/>
    </row>
    <row r="49" spans="1:8" ht="25.5" customHeight="1">
      <c r="A49" s="391">
        <f t="shared" si="7"/>
        <v>6.7</v>
      </c>
      <c r="B49" s="387" t="s">
        <v>157</v>
      </c>
      <c r="C49" s="386">
        <f>+C42*(2.5)</f>
        <v>1125</v>
      </c>
      <c r="D49" s="392" t="s">
        <v>155</v>
      </c>
      <c r="E49" s="388"/>
      <c r="F49" s="393">
        <f t="shared" si="8"/>
        <v>0</v>
      </c>
      <c r="G49" s="410"/>
      <c r="H49" s="29"/>
    </row>
    <row r="50" spans="1:8" ht="25.5" customHeight="1">
      <c r="A50" s="391">
        <f t="shared" si="7"/>
        <v>6.8</v>
      </c>
      <c r="B50" s="387" t="s">
        <v>158</v>
      </c>
      <c r="C50" s="386">
        <f>+C42*3</f>
        <v>1350</v>
      </c>
      <c r="D50" s="392" t="s">
        <v>155</v>
      </c>
      <c r="E50" s="388"/>
      <c r="F50" s="393">
        <f t="shared" si="8"/>
        <v>0</v>
      </c>
      <c r="G50" s="410">
        <f>SUM(F43:F50)</f>
        <v>0</v>
      </c>
      <c r="H50" s="29"/>
    </row>
    <row r="51" spans="1:8" ht="19.5" customHeight="1">
      <c r="A51" s="575"/>
      <c r="B51" s="372"/>
      <c r="C51" s="338"/>
      <c r="D51" s="373"/>
      <c r="E51" s="339"/>
      <c r="F51" s="338"/>
      <c r="G51" s="375"/>
      <c r="H51" s="29"/>
    </row>
    <row r="52" spans="1:8" ht="25.5" customHeight="1">
      <c r="A52" s="384">
        <v>7</v>
      </c>
      <c r="B52" s="385" t="s">
        <v>160</v>
      </c>
      <c r="C52" s="386"/>
      <c r="D52" s="392"/>
      <c r="E52" s="388"/>
      <c r="F52" s="389" t="str">
        <f t="shared" si="1"/>
        <v xml:space="preserve"> </v>
      </c>
      <c r="G52" s="295"/>
    </row>
    <row r="53" spans="1:8" ht="25.5" customHeight="1">
      <c r="A53" s="440">
        <f>+A52+0.1</f>
        <v>7.1</v>
      </c>
      <c r="B53" s="385" t="s">
        <v>233</v>
      </c>
      <c r="C53" s="386"/>
      <c r="D53" s="392"/>
      <c r="E53" s="388"/>
      <c r="F53" s="389"/>
      <c r="G53" s="295"/>
    </row>
    <row r="54" spans="1:8" ht="25.5" customHeight="1">
      <c r="A54" s="441" t="s">
        <v>234</v>
      </c>
      <c r="B54" s="387" t="s">
        <v>235</v>
      </c>
      <c r="C54" s="386">
        <v>6</v>
      </c>
      <c r="D54" s="392" t="s">
        <v>121</v>
      </c>
      <c r="E54" s="388"/>
      <c r="F54" s="393" t="str">
        <f>IF(E54=0," ",(ROUND(C54*E54,2)))</f>
        <v xml:space="preserve"> </v>
      </c>
      <c r="G54" s="295"/>
    </row>
    <row r="55" spans="1:8" ht="25.5" customHeight="1">
      <c r="A55" s="441" t="s">
        <v>236</v>
      </c>
      <c r="B55" s="387" t="s">
        <v>237</v>
      </c>
      <c r="C55" s="386">
        <v>1</v>
      </c>
      <c r="D55" s="392" t="s">
        <v>121</v>
      </c>
      <c r="E55" s="388"/>
      <c r="F55" s="393" t="str">
        <f t="shared" ref="F55:F59" si="9">IF(E55=0," ",(ROUND(C55*E55,2)))</f>
        <v xml:space="preserve"> </v>
      </c>
      <c r="G55" s="295"/>
    </row>
    <row r="56" spans="1:8" s="25" customFormat="1" ht="39" customHeight="1">
      <c r="A56" s="441" t="s">
        <v>238</v>
      </c>
      <c r="B56" s="387" t="s">
        <v>239</v>
      </c>
      <c r="C56" s="386">
        <v>16</v>
      </c>
      <c r="D56" s="392" t="s">
        <v>121</v>
      </c>
      <c r="E56" s="388"/>
      <c r="F56" s="393" t="str">
        <f t="shared" si="9"/>
        <v xml:space="preserve"> </v>
      </c>
      <c r="G56" s="390"/>
    </row>
    <row r="57" spans="1:8" s="25" customFormat="1" ht="37.5" customHeight="1">
      <c r="A57" s="441" t="s">
        <v>240</v>
      </c>
      <c r="B57" s="387" t="s">
        <v>241</v>
      </c>
      <c r="C57" s="386">
        <v>15</v>
      </c>
      <c r="D57" s="392" t="s">
        <v>121</v>
      </c>
      <c r="E57" s="388"/>
      <c r="F57" s="393" t="str">
        <f t="shared" si="9"/>
        <v xml:space="preserve"> </v>
      </c>
      <c r="G57" s="390"/>
    </row>
    <row r="58" spans="1:8" s="25" customFormat="1" ht="25.5" customHeight="1" thickBot="1">
      <c r="A58" s="469" t="s">
        <v>242</v>
      </c>
      <c r="B58" s="470" t="s">
        <v>243</v>
      </c>
      <c r="C58" s="471">
        <v>1</v>
      </c>
      <c r="D58" s="472" t="s">
        <v>121</v>
      </c>
      <c r="E58" s="473"/>
      <c r="F58" s="474" t="str">
        <f t="shared" si="9"/>
        <v xml:space="preserve"> </v>
      </c>
      <c r="G58" s="475"/>
    </row>
    <row r="59" spans="1:8" s="25" customFormat="1" ht="25.5" customHeight="1" thickTop="1">
      <c r="A59" s="466" t="s">
        <v>244</v>
      </c>
      <c r="B59" s="416" t="s">
        <v>245</v>
      </c>
      <c r="C59" s="417">
        <v>4</v>
      </c>
      <c r="D59" s="418" t="s">
        <v>121</v>
      </c>
      <c r="E59" s="436"/>
      <c r="F59" s="438" t="str">
        <f t="shared" si="9"/>
        <v xml:space="preserve"> </v>
      </c>
      <c r="G59" s="298"/>
    </row>
    <row r="60" spans="1:8" s="25" customFormat="1" ht="25.5" customHeight="1">
      <c r="A60" s="440">
        <f>+A53+0.1</f>
        <v>7.2</v>
      </c>
      <c r="B60" s="385" t="s">
        <v>161</v>
      </c>
      <c r="C60" s="386"/>
      <c r="D60" s="392"/>
      <c r="E60" s="388"/>
      <c r="F60" s="389"/>
      <c r="G60" s="390"/>
    </row>
    <row r="61" spans="1:8" s="25" customFormat="1" ht="25.5" customHeight="1">
      <c r="A61" s="442" t="s">
        <v>246</v>
      </c>
      <c r="B61" s="387" t="s">
        <v>163</v>
      </c>
      <c r="C61" s="443">
        <v>50</v>
      </c>
      <c r="D61" s="392" t="s">
        <v>121</v>
      </c>
      <c r="E61" s="388"/>
      <c r="F61" s="393" t="str">
        <f>IF(E61=0," ",(ROUND(C61*E61,2)))</f>
        <v xml:space="preserve"> </v>
      </c>
      <c r="G61" s="390"/>
    </row>
    <row r="62" spans="1:8" s="25" customFormat="1" ht="25.5" customHeight="1">
      <c r="A62" s="442" t="s">
        <v>247</v>
      </c>
      <c r="B62" s="387" t="s">
        <v>165</v>
      </c>
      <c r="C62" s="443">
        <v>50</v>
      </c>
      <c r="D62" s="392" t="s">
        <v>121</v>
      </c>
      <c r="E62" s="388"/>
      <c r="F62" s="393" t="str">
        <f>IF(E62=0," ",(ROUND(C62*E62,2)))</f>
        <v xml:space="preserve"> </v>
      </c>
      <c r="G62" s="390"/>
    </row>
    <row r="63" spans="1:8" s="25" customFormat="1" ht="25.5" customHeight="1">
      <c r="A63" s="440">
        <f>+A60+0.1</f>
        <v>7.3</v>
      </c>
      <c r="B63" s="385" t="s">
        <v>248</v>
      </c>
      <c r="C63" s="386"/>
      <c r="D63" s="392"/>
      <c r="E63" s="388"/>
      <c r="F63" s="389"/>
      <c r="G63" s="390"/>
    </row>
    <row r="64" spans="1:8" s="25" customFormat="1" ht="25.5" customHeight="1">
      <c r="A64" s="444" t="s">
        <v>249</v>
      </c>
      <c r="B64" s="385" t="s">
        <v>168</v>
      </c>
      <c r="C64" s="386"/>
      <c r="D64" s="392"/>
      <c r="E64" s="388"/>
      <c r="F64" s="389"/>
      <c r="G64" s="390"/>
    </row>
    <row r="65" spans="1:7" s="25" customFormat="1" ht="25.5" customHeight="1">
      <c r="A65" s="442" t="s">
        <v>250</v>
      </c>
      <c r="B65" s="387" t="s">
        <v>140</v>
      </c>
      <c r="C65" s="386">
        <f>+(0.6+0.25+1.5+1.82+1.5+0.25+0.6+0.6)*(0.6+0.25+1.25+0.25+0.6)*(1.81+0.81+1.05+1)</f>
        <v>98.09</v>
      </c>
      <c r="D65" s="392" t="s">
        <v>113</v>
      </c>
      <c r="E65" s="388"/>
      <c r="F65" s="393" t="str">
        <f t="shared" ref="F65" si="10">IF(E65=0," ",(ROUND(C65*E65,2)))</f>
        <v xml:space="preserve"> </v>
      </c>
      <c r="G65" s="390"/>
    </row>
    <row r="66" spans="1:7" s="25" customFormat="1" ht="25.5" customHeight="1">
      <c r="A66" s="442" t="s">
        <v>251</v>
      </c>
      <c r="B66" s="387" t="s">
        <v>171</v>
      </c>
      <c r="C66" s="386">
        <f>+((0.6+0.25+1.5+1.82+1.5+0.25+0.6+0.6)*(0.6+0.25+1.25+0.25+0.6)*(1.81+0.81+1.05+1))-((((0.6+0.25+1.5+1.82+1.5+0.6)+(1.82+0.25+0.25)/2)*(1.81+0.81+1.05+1))*(0.25+1.25+0.25))</f>
        <v>37.369999999999997</v>
      </c>
      <c r="D66" s="392" t="s">
        <v>113</v>
      </c>
      <c r="E66" s="388"/>
      <c r="F66" s="393" t="str">
        <f>IF(E66=0," ",(ROUND(C66*E66,2)))</f>
        <v xml:space="preserve"> </v>
      </c>
      <c r="G66" s="390"/>
    </row>
    <row r="67" spans="1:7" s="25" customFormat="1" ht="25.5" customHeight="1">
      <c r="A67" s="442" t="s">
        <v>252</v>
      </c>
      <c r="B67" s="387" t="s">
        <v>144</v>
      </c>
      <c r="C67" s="386">
        <f>+C66</f>
        <v>37.369999999999997</v>
      </c>
      <c r="D67" s="392" t="s">
        <v>113</v>
      </c>
      <c r="E67" s="388"/>
      <c r="F67" s="393" t="str">
        <f t="shared" ref="F67" si="11">IF(E67=0," ",(ROUND(C67*E67,2)))</f>
        <v xml:space="preserve"> </v>
      </c>
      <c r="G67" s="390"/>
    </row>
    <row r="68" spans="1:7" s="25" customFormat="1" ht="23.25" customHeight="1">
      <c r="A68" s="445" t="s">
        <v>253</v>
      </c>
      <c r="B68" s="446" t="s">
        <v>174</v>
      </c>
      <c r="C68" s="447"/>
      <c r="D68" s="448"/>
      <c r="E68" s="449"/>
      <c r="F68" s="438"/>
      <c r="G68" s="450"/>
    </row>
    <row r="69" spans="1:7" s="25" customFormat="1" ht="21" customHeight="1">
      <c r="A69" s="451" t="s">
        <v>254</v>
      </c>
      <c r="B69" s="452" t="s">
        <v>150</v>
      </c>
      <c r="C69" s="386">
        <f>+((((0.6+0.25+1.5+1.82+1.5+0.6)+(1.82+0.25+0.25)/2)*(0.1))*(0.25+1.25+0.25))</f>
        <v>1.3</v>
      </c>
      <c r="D69" s="453" t="s">
        <v>113</v>
      </c>
      <c r="E69" s="393"/>
      <c r="F69" s="393">
        <f t="shared" ref="F69:F73" si="12">+E69*C69</f>
        <v>0</v>
      </c>
      <c r="G69" s="454"/>
    </row>
    <row r="70" spans="1:7" s="25" customFormat="1" ht="19.5" customHeight="1">
      <c r="A70" s="451" t="s">
        <v>255</v>
      </c>
      <c r="B70" s="452" t="s">
        <v>177</v>
      </c>
      <c r="C70" s="386">
        <f>+((((0.6+0.25+1.5+1.82+1.5+0.6)+(1.82+0.25+0.25)/2)*(0.25))*(0.25+1.25+0.25))</f>
        <v>3.25</v>
      </c>
      <c r="D70" s="453" t="s">
        <v>113</v>
      </c>
      <c r="E70" s="393"/>
      <c r="F70" s="393">
        <f t="shared" si="12"/>
        <v>0</v>
      </c>
      <c r="G70" s="454"/>
    </row>
    <row r="71" spans="1:7" s="25" customFormat="1" ht="19.5" customHeight="1">
      <c r="A71" s="451" t="s">
        <v>256</v>
      </c>
      <c r="B71" s="455" t="s">
        <v>179</v>
      </c>
      <c r="C71" s="386">
        <f>+(((1.84*1.5)/2)*0.25+((1.84*1.5)/2)*0.25)+(1.75*1.5*2)+(1*1.5)+(1.82*2.65)+(0.8*(0.6+0.25+1.5+1.82+1.5+0.25+0.6))</f>
        <v>17.48</v>
      </c>
      <c r="D71" s="456" t="s">
        <v>113</v>
      </c>
      <c r="E71" s="438"/>
      <c r="F71" s="393">
        <f t="shared" si="12"/>
        <v>0</v>
      </c>
      <c r="G71" s="457"/>
    </row>
    <row r="72" spans="1:7" s="25" customFormat="1" ht="19.5" customHeight="1">
      <c r="A72" s="451" t="s">
        <v>257</v>
      </c>
      <c r="B72" s="455" t="s">
        <v>181</v>
      </c>
      <c r="C72" s="386">
        <f>+(0.8*(1.82+0.25+0.25)*0.25)</f>
        <v>0.46</v>
      </c>
      <c r="D72" s="456" t="s">
        <v>113</v>
      </c>
      <c r="E72" s="438"/>
      <c r="F72" s="393">
        <f t="shared" si="12"/>
        <v>0</v>
      </c>
      <c r="G72" s="450"/>
    </row>
    <row r="73" spans="1:7" s="25" customFormat="1" ht="19.5" customHeight="1">
      <c r="A73" s="451" t="s">
        <v>258</v>
      </c>
      <c r="B73" s="455" t="s">
        <v>183</v>
      </c>
      <c r="C73" s="386">
        <f>+(0.4*(0.6+0.25+1.5+1.82+1.5+0.25+0.6)*0.25)</f>
        <v>0.65</v>
      </c>
      <c r="D73" s="456" t="s">
        <v>113</v>
      </c>
      <c r="E73" s="438"/>
      <c r="F73" s="393">
        <f t="shared" si="12"/>
        <v>0</v>
      </c>
      <c r="G73" s="450"/>
    </row>
    <row r="74" spans="1:7" s="25" customFormat="1" ht="20.25" customHeight="1">
      <c r="A74" s="440">
        <f>+A63+0.1</f>
        <v>7.4</v>
      </c>
      <c r="B74" s="385" t="s">
        <v>184</v>
      </c>
      <c r="C74" s="386">
        <v>6</v>
      </c>
      <c r="D74" s="392" t="s">
        <v>121</v>
      </c>
      <c r="E74" s="388"/>
      <c r="F74" s="393" t="str">
        <f t="shared" ref="F74" si="13">IF(E74=0," ",(ROUND(C74*E74,2)))</f>
        <v xml:space="preserve"> </v>
      </c>
      <c r="G74" s="390"/>
    </row>
    <row r="75" spans="1:7" s="25" customFormat="1" ht="37.5" customHeight="1">
      <c r="A75" s="440">
        <f>+A74+0.1</f>
        <v>7.5</v>
      </c>
      <c r="B75" s="385" t="s">
        <v>185</v>
      </c>
      <c r="C75" s="386">
        <f>150/2</f>
        <v>75</v>
      </c>
      <c r="D75" s="392" t="s">
        <v>131</v>
      </c>
      <c r="E75" s="388"/>
      <c r="F75" s="393">
        <f>+C75*E75</f>
        <v>0</v>
      </c>
      <c r="G75" s="390"/>
    </row>
    <row r="76" spans="1:7" s="25" customFormat="1" ht="42.75" customHeight="1">
      <c r="A76" s="440">
        <f>+A75+0.1</f>
        <v>7.6</v>
      </c>
      <c r="B76" s="385" t="s">
        <v>186</v>
      </c>
      <c r="C76" s="386">
        <v>30</v>
      </c>
      <c r="D76" s="392" t="s">
        <v>187</v>
      </c>
      <c r="E76" s="388"/>
      <c r="F76" s="393">
        <f>+C76*E76</f>
        <v>0</v>
      </c>
      <c r="G76" s="390">
        <f>SUM(F54:F76)</f>
        <v>0</v>
      </c>
    </row>
    <row r="77" spans="1:7" s="25" customFormat="1" ht="20.25" customHeight="1">
      <c r="A77" s="428"/>
      <c r="B77" s="429"/>
      <c r="C77" s="296"/>
      <c r="D77" s="297"/>
      <c r="E77" s="363"/>
      <c r="F77" s="430"/>
      <c r="G77" s="298"/>
    </row>
    <row r="78" spans="1:7" s="25" customFormat="1" ht="23.25" customHeight="1">
      <c r="A78" s="384">
        <v>8</v>
      </c>
      <c r="B78" s="385" t="s">
        <v>188</v>
      </c>
      <c r="C78" s="386"/>
      <c r="D78" s="392"/>
      <c r="E78" s="388"/>
      <c r="F78" s="389" t="str">
        <f>IF(E78=0," ",(ROUND(C78*E78,2)))</f>
        <v xml:space="preserve"> </v>
      </c>
      <c r="G78" s="390"/>
    </row>
    <row r="79" spans="1:7" s="25" customFormat="1" ht="23.25" customHeight="1">
      <c r="A79" s="391">
        <f>A78+0.1</f>
        <v>8.1</v>
      </c>
      <c r="B79" s="387" t="s">
        <v>189</v>
      </c>
      <c r="C79" s="434">
        <f>360/2</f>
        <v>180</v>
      </c>
      <c r="D79" s="392" t="s">
        <v>121</v>
      </c>
      <c r="E79" s="388"/>
      <c r="F79" s="393" t="str">
        <f>IF(E79=0," ",(ROUND(C79*E79,2)))</f>
        <v xml:space="preserve"> </v>
      </c>
      <c r="G79" s="390">
        <f>SUM(F79)</f>
        <v>0</v>
      </c>
    </row>
    <row r="80" spans="1:7" s="25" customFormat="1" ht="19.5" customHeight="1">
      <c r="A80" s="294"/>
      <c r="B80" s="292"/>
      <c r="C80" s="289"/>
      <c r="D80" s="293"/>
      <c r="E80" s="290"/>
      <c r="F80" s="431"/>
      <c r="G80" s="295"/>
    </row>
    <row r="81" spans="1:7" s="25" customFormat="1" ht="20.25" customHeight="1">
      <c r="A81" s="384">
        <v>9</v>
      </c>
      <c r="B81" s="385" t="s">
        <v>190</v>
      </c>
      <c r="C81" s="386"/>
      <c r="D81" s="392"/>
      <c r="E81" s="290"/>
      <c r="F81" s="427" t="str">
        <f>IF(E81=0," ",(ROUND(C81*E81,2)))</f>
        <v xml:space="preserve"> </v>
      </c>
      <c r="G81" s="295"/>
    </row>
    <row r="82" spans="1:7" s="25" customFormat="1" ht="20.25" customHeight="1">
      <c r="A82" s="391">
        <f>A81+0.1</f>
        <v>9.1</v>
      </c>
      <c r="B82" s="387" t="str">
        <f>+B37</f>
        <v>Ø80" Hormigón Armado Clase III (Cub. Contra factura)</v>
      </c>
      <c r="C82" s="386">
        <f>+C31</f>
        <v>291.92</v>
      </c>
      <c r="D82" s="392" t="s">
        <v>131</v>
      </c>
      <c r="E82" s="388"/>
      <c r="F82" s="393" t="str">
        <f>IF(E82=0," ",(ROUND(C82*E82,2)))</f>
        <v xml:space="preserve"> </v>
      </c>
      <c r="G82" s="295"/>
    </row>
    <row r="83" spans="1:7" s="25" customFormat="1" ht="20.25" customHeight="1">
      <c r="A83" s="391">
        <f t="shared" ref="A83:A85" si="14">A82+0.1</f>
        <v>9.1999999999999993</v>
      </c>
      <c r="B83" s="387" t="str">
        <f>+B38</f>
        <v>Ø60" Hormigón Armado Clase III (Cub. Contra factura)</v>
      </c>
      <c r="C83" s="386">
        <f>+C32</f>
        <v>183.13</v>
      </c>
      <c r="D83" s="392" t="s">
        <v>131</v>
      </c>
      <c r="E83" s="388"/>
      <c r="F83" s="393" t="str">
        <f t="shared" ref="F83:F84" si="15">IF(E83=0," ",(ROUND(C83*E83,2)))</f>
        <v xml:space="preserve"> </v>
      </c>
      <c r="G83" s="295"/>
    </row>
    <row r="84" spans="1:7" s="25" customFormat="1" ht="23.25" customHeight="1">
      <c r="A84" s="391">
        <f t="shared" si="14"/>
        <v>9.3000000000000007</v>
      </c>
      <c r="B84" s="387" t="str">
        <f>+B39</f>
        <v>Ø48" Hormigón Armado Clase III (Cub. Contra factura)</v>
      </c>
      <c r="C84" s="386">
        <f>+C33</f>
        <v>141.94999999999999</v>
      </c>
      <c r="D84" s="392" t="s">
        <v>131</v>
      </c>
      <c r="E84" s="388"/>
      <c r="F84" s="393" t="str">
        <f t="shared" si="15"/>
        <v xml:space="preserve"> </v>
      </c>
      <c r="G84" s="295"/>
    </row>
    <row r="85" spans="1:7" s="25" customFormat="1" ht="21" customHeight="1" thickBot="1">
      <c r="A85" s="411">
        <f t="shared" si="14"/>
        <v>9.4</v>
      </c>
      <c r="B85" s="412" t="str">
        <f>+B40</f>
        <v>Ø12" PVC - SDR - 32.5</v>
      </c>
      <c r="C85" s="413">
        <f>+C34</f>
        <v>2923.97</v>
      </c>
      <c r="D85" s="414" t="s">
        <v>131</v>
      </c>
      <c r="E85" s="435"/>
      <c r="F85" s="437" t="str">
        <f>IF(E85=0," ",(ROUND(C85*E85,2)))</f>
        <v xml:space="preserve"> </v>
      </c>
      <c r="G85" s="462">
        <f>SUM(F82:F85)</f>
        <v>0</v>
      </c>
    </row>
    <row r="86" spans="1:7" s="25" customFormat="1" ht="20.25" customHeight="1">
      <c r="A86" s="361"/>
      <c r="B86" s="362"/>
      <c r="C86" s="296"/>
      <c r="D86" s="297"/>
      <c r="E86" s="363"/>
      <c r="F86" s="337"/>
      <c r="G86" s="298"/>
    </row>
    <row r="87" spans="1:7" s="25" customFormat="1" ht="20.25" customHeight="1">
      <c r="A87" s="384">
        <v>10</v>
      </c>
      <c r="B87" s="385" t="s">
        <v>191</v>
      </c>
      <c r="C87" s="386"/>
      <c r="D87" s="392"/>
      <c r="E87" s="388"/>
      <c r="F87" s="393" t="str">
        <f t="shared" ref="F87:F91" si="16">IF(E87=0," ",(ROUND(C87*E87,2)))</f>
        <v xml:space="preserve"> </v>
      </c>
      <c r="G87" s="390"/>
    </row>
    <row r="88" spans="1:7" s="25" customFormat="1" ht="19.5" customHeight="1">
      <c r="A88" s="391">
        <f>A87+0.1</f>
        <v>10.1</v>
      </c>
      <c r="B88" s="387" t="s">
        <v>192</v>
      </c>
      <c r="C88" s="386">
        <v>1</v>
      </c>
      <c r="D88" s="392" t="s">
        <v>129</v>
      </c>
      <c r="E88" s="388"/>
      <c r="F88" s="393" t="str">
        <f t="shared" si="16"/>
        <v xml:space="preserve"> </v>
      </c>
      <c r="G88" s="390"/>
    </row>
    <row r="89" spans="1:7" s="25" customFormat="1" ht="19.5" customHeight="1">
      <c r="A89" s="391">
        <f t="shared" ref="A89:A91" si="17">A88+0.1</f>
        <v>10.199999999999999</v>
      </c>
      <c r="B89" s="387" t="s">
        <v>193</v>
      </c>
      <c r="C89" s="386">
        <v>300</v>
      </c>
      <c r="D89" s="392" t="s">
        <v>155</v>
      </c>
      <c r="E89" s="388"/>
      <c r="F89" s="393" t="str">
        <f t="shared" si="16"/>
        <v xml:space="preserve"> </v>
      </c>
      <c r="G89" s="390"/>
    </row>
    <row r="90" spans="1:7" s="25" customFormat="1" ht="19.5" customHeight="1">
      <c r="A90" s="391">
        <f t="shared" si="17"/>
        <v>10.3</v>
      </c>
      <c r="B90" s="387" t="s">
        <v>194</v>
      </c>
      <c r="C90" s="386">
        <f>+C89</f>
        <v>300</v>
      </c>
      <c r="D90" s="392" t="s">
        <v>155</v>
      </c>
      <c r="E90" s="388"/>
      <c r="F90" s="393" t="str">
        <f t="shared" si="16"/>
        <v xml:space="preserve"> </v>
      </c>
      <c r="G90" s="390"/>
    </row>
    <row r="91" spans="1:7" s="25" customFormat="1" ht="19.5" customHeight="1">
      <c r="A91" s="391">
        <f t="shared" si="17"/>
        <v>10.4</v>
      </c>
      <c r="B91" s="387" t="s">
        <v>195</v>
      </c>
      <c r="C91" s="386">
        <f>2000*3.5</f>
        <v>7000</v>
      </c>
      <c r="D91" s="392" t="s">
        <v>155</v>
      </c>
      <c r="E91" s="388"/>
      <c r="F91" s="393" t="str">
        <f t="shared" si="16"/>
        <v xml:space="preserve"> </v>
      </c>
      <c r="G91" s="390">
        <f>SUM(F88:F91)</f>
        <v>0</v>
      </c>
    </row>
    <row r="92" spans="1:7" s="25" customFormat="1" ht="19.5" customHeight="1">
      <c r="A92" s="294"/>
      <c r="B92" s="292"/>
      <c r="C92" s="289"/>
      <c r="D92" s="293"/>
      <c r="E92" s="290"/>
      <c r="F92" s="427"/>
      <c r="G92" s="295"/>
    </row>
    <row r="93" spans="1:7" s="25" customFormat="1" ht="34.5" customHeight="1">
      <c r="A93" s="384">
        <v>11</v>
      </c>
      <c r="B93" s="385" t="s">
        <v>196</v>
      </c>
      <c r="C93" s="386">
        <v>1</v>
      </c>
      <c r="D93" s="419" t="s">
        <v>129</v>
      </c>
      <c r="E93" s="388"/>
      <c r="F93" s="393" t="str">
        <f>IF(E93=0," ",(ROUND(C93*E93,2)))</f>
        <v xml:space="preserve"> </v>
      </c>
      <c r="G93" s="390" t="str">
        <f>+F93</f>
        <v xml:space="preserve"> </v>
      </c>
    </row>
    <row r="94" spans="1:7" s="25" customFormat="1" ht="19.5" customHeight="1">
      <c r="A94" s="432"/>
      <c r="B94" s="429"/>
      <c r="C94" s="296"/>
      <c r="D94" s="433"/>
      <c r="E94" s="363"/>
      <c r="F94" s="291"/>
      <c r="G94" s="298"/>
    </row>
    <row r="95" spans="1:7" s="25" customFormat="1" ht="19.5" customHeight="1">
      <c r="A95" s="384">
        <v>12</v>
      </c>
      <c r="B95" s="385" t="s">
        <v>197</v>
      </c>
      <c r="C95" s="386">
        <v>1</v>
      </c>
      <c r="D95" s="419" t="s">
        <v>129</v>
      </c>
      <c r="E95" s="388"/>
      <c r="F95" s="393" t="str">
        <f>IF(E95=0," ",(ROUND(C95*E95,2)))</f>
        <v xml:space="preserve"> </v>
      </c>
      <c r="G95" s="390" t="str">
        <f>+F95</f>
        <v xml:space="preserve"> </v>
      </c>
    </row>
    <row r="96" spans="1:7" s="25" customFormat="1" ht="19.5" customHeight="1" thickBot="1">
      <c r="A96" s="236"/>
      <c r="B96" s="237"/>
      <c r="C96" s="238"/>
      <c r="D96" s="237"/>
      <c r="E96" s="239"/>
      <c r="F96" s="240"/>
      <c r="G96" s="241"/>
    </row>
    <row r="97" spans="1:7" s="25" customFormat="1" ht="19.5" customHeight="1" thickTop="1" thickBot="1">
      <c r="A97" s="174"/>
      <c r="B97" s="175" t="s">
        <v>124</v>
      </c>
      <c r="C97" s="176"/>
      <c r="D97" s="177"/>
      <c r="E97" s="178"/>
      <c r="F97" s="179"/>
      <c r="G97" s="180">
        <f>SUM(G15:G95)</f>
        <v>0</v>
      </c>
    </row>
    <row r="98" spans="1:7" s="25" customFormat="1" ht="19.5" customHeight="1" thickTop="1" thickBot="1">
      <c r="A98" s="174"/>
      <c r="B98" s="175" t="s">
        <v>198</v>
      </c>
      <c r="C98" s="176"/>
      <c r="D98" s="177"/>
      <c r="E98" s="178"/>
      <c r="F98" s="179"/>
      <c r="G98" s="180">
        <f>+G97</f>
        <v>0</v>
      </c>
    </row>
    <row r="99" spans="1:7" s="25" customFormat="1" ht="19.5" customHeight="1" thickTop="1">
      <c r="A99" s="213"/>
      <c r="B99" s="214"/>
      <c r="C99" s="215"/>
      <c r="D99" s="215"/>
      <c r="E99" s="215"/>
      <c r="F99" s="215"/>
      <c r="G99" s="216"/>
    </row>
    <row r="100" spans="1:7" s="25" customFormat="1" ht="19.5" customHeight="1">
      <c r="A100" s="573"/>
      <c r="B100" s="217" t="s">
        <v>199</v>
      </c>
      <c r="C100" s="218">
        <v>0.1</v>
      </c>
      <c r="D100" s="219"/>
      <c r="E100" s="219"/>
      <c r="F100" s="219">
        <f>C100*G98</f>
        <v>0</v>
      </c>
      <c r="G100" s="220"/>
    </row>
    <row r="101" spans="1:7" s="25" customFormat="1" ht="19.5" customHeight="1">
      <c r="A101" s="573"/>
      <c r="B101" s="217" t="s">
        <v>200</v>
      </c>
      <c r="C101" s="218">
        <v>2.5000000000000001E-2</v>
      </c>
      <c r="D101" s="219"/>
      <c r="E101" s="219"/>
      <c r="F101" s="219">
        <f>C101*G98</f>
        <v>0</v>
      </c>
      <c r="G101" s="220"/>
    </row>
    <row r="102" spans="1:7" s="25" customFormat="1" ht="19.5" customHeight="1">
      <c r="A102" s="573"/>
      <c r="B102" s="217" t="s">
        <v>201</v>
      </c>
      <c r="C102" s="218">
        <v>5.3499999999999999E-2</v>
      </c>
      <c r="D102" s="219"/>
      <c r="E102" s="219"/>
      <c r="F102" s="219">
        <f>C102*G98</f>
        <v>0</v>
      </c>
      <c r="G102" s="220"/>
    </row>
    <row r="103" spans="1:7" s="25" customFormat="1" ht="22.5" customHeight="1">
      <c r="A103" s="573"/>
      <c r="B103" s="217" t="s">
        <v>202</v>
      </c>
      <c r="C103" s="218">
        <v>1.4999999999999999E-2</v>
      </c>
      <c r="D103" s="219"/>
      <c r="E103" s="219"/>
      <c r="F103" s="219">
        <f>C103*G98</f>
        <v>0</v>
      </c>
      <c r="G103" s="220"/>
    </row>
    <row r="104" spans="1:7" s="25" customFormat="1" ht="21.75" customHeight="1">
      <c r="A104" s="573"/>
      <c r="B104" s="217" t="s">
        <v>203</v>
      </c>
      <c r="C104" s="218">
        <v>0.01</v>
      </c>
      <c r="D104" s="219"/>
      <c r="E104" s="219"/>
      <c r="F104" s="219">
        <f>C104*G98</f>
        <v>0</v>
      </c>
      <c r="G104" s="220"/>
    </row>
    <row r="105" spans="1:7" s="25" customFormat="1" ht="21.75" customHeight="1">
      <c r="A105" s="573"/>
      <c r="B105" s="217" t="s">
        <v>204</v>
      </c>
      <c r="C105" s="218">
        <v>0.05</v>
      </c>
      <c r="D105" s="219"/>
      <c r="E105" s="219"/>
      <c r="F105" s="219">
        <f>C105*G98</f>
        <v>0</v>
      </c>
      <c r="G105" s="220"/>
    </row>
    <row r="106" spans="1:7" s="25" customFormat="1" ht="21.75" customHeight="1" thickBot="1">
      <c r="A106" s="574"/>
      <c r="B106" s="217"/>
      <c r="C106" s="221"/>
      <c r="D106" s="222"/>
      <c r="E106" s="222"/>
      <c r="F106" s="222"/>
      <c r="G106" s="223"/>
    </row>
    <row r="107" spans="1:7" s="25" customFormat="1" ht="21.75" customHeight="1" thickTop="1" thickBot="1">
      <c r="A107" s="224"/>
      <c r="B107" s="225" t="s">
        <v>205</v>
      </c>
      <c r="C107" s="226"/>
      <c r="D107" s="227"/>
      <c r="E107" s="225"/>
      <c r="F107" s="228"/>
      <c r="G107" s="229">
        <f>SUM(F100:F105)</f>
        <v>0</v>
      </c>
    </row>
    <row r="108" spans="1:7" s="25" customFormat="1" ht="21.75" customHeight="1" thickTop="1" thickBot="1">
      <c r="A108" s="230"/>
      <c r="B108" s="231"/>
      <c r="C108" s="232"/>
      <c r="D108" s="232"/>
      <c r="E108" s="232"/>
      <c r="F108" s="232"/>
      <c r="G108" s="233"/>
    </row>
    <row r="109" spans="1:7" s="25" customFormat="1" ht="21.75" customHeight="1" thickTop="1" thickBot="1">
      <c r="A109" s="224"/>
      <c r="B109" s="225" t="s">
        <v>206</v>
      </c>
      <c r="C109" s="287">
        <v>0.03</v>
      </c>
      <c r="D109" s="227"/>
      <c r="E109" s="225"/>
      <c r="F109" s="228"/>
      <c r="G109" s="229">
        <f>+G107*C109</f>
        <v>0</v>
      </c>
    </row>
    <row r="110" spans="1:7" s="25" customFormat="1" ht="21.75" customHeight="1" thickTop="1" thickBot="1">
      <c r="A110" s="230"/>
      <c r="B110" s="231"/>
      <c r="C110" s="235"/>
      <c r="D110" s="232"/>
      <c r="E110" s="232"/>
      <c r="F110" s="232"/>
      <c r="G110" s="233"/>
    </row>
    <row r="111" spans="1:7" s="25" customFormat="1" ht="21.75" customHeight="1" thickTop="1" thickBot="1">
      <c r="A111" s="224"/>
      <c r="B111" s="225" t="s">
        <v>207</v>
      </c>
      <c r="C111" s="234"/>
      <c r="D111" s="227"/>
      <c r="E111" s="225"/>
      <c r="F111" s="228"/>
      <c r="G111" s="229">
        <f>G98+G107</f>
        <v>0</v>
      </c>
    </row>
    <row r="112" spans="1:7" s="25" customFormat="1" ht="21" customHeight="1" thickTop="1" thickBot="1">
      <c r="A112" s="230"/>
      <c r="B112" s="231"/>
      <c r="C112" s="235"/>
      <c r="D112" s="232"/>
      <c r="E112" s="232"/>
      <c r="F112" s="232"/>
      <c r="G112" s="233"/>
    </row>
    <row r="113" spans="1:7" s="25" customFormat="1" ht="17.25" customHeight="1" thickTop="1" thickBot="1">
      <c r="A113" s="224"/>
      <c r="B113" s="225" t="s">
        <v>208</v>
      </c>
      <c r="C113" s="287">
        <v>0.06</v>
      </c>
      <c r="D113" s="227"/>
      <c r="E113" s="225"/>
      <c r="F113" s="228"/>
      <c r="G113" s="229">
        <f>(+C113*G98)</f>
        <v>0</v>
      </c>
    </row>
    <row r="114" spans="1:7" s="25" customFormat="1" ht="21.75" customHeight="1" thickTop="1" thickBot="1">
      <c r="A114" s="230"/>
      <c r="B114" s="231"/>
      <c r="C114" s="235"/>
      <c r="D114" s="232"/>
      <c r="E114" s="232"/>
      <c r="F114" s="232"/>
      <c r="G114" s="233"/>
    </row>
    <row r="115" spans="1:7" s="25" customFormat="1" ht="21.75" customHeight="1" thickTop="1" thickBot="1">
      <c r="A115" s="224"/>
      <c r="B115" s="225" t="s">
        <v>209</v>
      </c>
      <c r="C115" s="287">
        <v>1E-3</v>
      </c>
      <c r="D115" s="227"/>
      <c r="E115" s="225"/>
      <c r="F115" s="228"/>
      <c r="G115" s="229">
        <f>G98*C115</f>
        <v>0</v>
      </c>
    </row>
    <row r="116" spans="1:7" s="25" customFormat="1" ht="21.75" customHeight="1" thickTop="1" thickBot="1">
      <c r="A116" s="258"/>
      <c r="B116" s="259"/>
      <c r="C116" s="260"/>
      <c r="D116" s="261"/>
      <c r="E116" s="259"/>
      <c r="F116" s="262"/>
      <c r="G116" s="263"/>
    </row>
    <row r="117" spans="1:7" s="25" customFormat="1" ht="18.75" customHeight="1" thickTop="1" thickBot="1">
      <c r="A117" s="224"/>
      <c r="B117" s="225" t="s">
        <v>210</v>
      </c>
      <c r="C117" s="287">
        <v>0.18</v>
      </c>
      <c r="D117" s="227"/>
      <c r="E117" s="225"/>
      <c r="F117" s="228"/>
      <c r="G117" s="229">
        <f>F100*C117</f>
        <v>0</v>
      </c>
    </row>
    <row r="118" spans="1:7" s="25" customFormat="1" ht="18.75" customHeight="1" thickTop="1" thickBot="1">
      <c r="A118" s="258"/>
      <c r="B118" s="259"/>
      <c r="C118" s="260"/>
      <c r="D118" s="261"/>
      <c r="E118" s="259"/>
      <c r="F118" s="262"/>
      <c r="G118" s="263"/>
    </row>
    <row r="119" spans="1:7" s="25" customFormat="1" ht="18.75" customHeight="1" thickTop="1" thickBot="1">
      <c r="A119" s="279"/>
      <c r="B119" s="280" t="s">
        <v>211</v>
      </c>
      <c r="C119" s="284">
        <v>1</v>
      </c>
      <c r="D119" s="285" t="s">
        <v>129</v>
      </c>
      <c r="E119" s="286"/>
      <c r="F119" s="281"/>
      <c r="G119" s="282"/>
    </row>
    <row r="120" spans="1:7" s="25" customFormat="1" ht="22.5" customHeight="1" thickTop="1" thickBot="1">
      <c r="A120" s="258"/>
      <c r="B120" s="259"/>
      <c r="C120" s="260"/>
      <c r="D120" s="261"/>
      <c r="E120" s="259"/>
      <c r="F120" s="262"/>
      <c r="G120" s="263"/>
    </row>
    <row r="121" spans="1:7" s="25" customFormat="1" ht="39" customHeight="1" thickTop="1" thickBot="1">
      <c r="A121" s="279"/>
      <c r="B121" s="280" t="s">
        <v>212</v>
      </c>
      <c r="C121" s="284">
        <v>1</v>
      </c>
      <c r="D121" s="285" t="s">
        <v>129</v>
      </c>
      <c r="E121" s="286"/>
      <c r="F121" s="281"/>
      <c r="G121" s="282"/>
    </row>
    <row r="122" spans="1:7" s="25" customFormat="1" ht="17.25" customHeight="1" thickTop="1" thickBot="1">
      <c r="A122" s="230"/>
      <c r="B122" s="231"/>
      <c r="C122" s="235"/>
      <c r="D122" s="232"/>
      <c r="E122" s="283"/>
      <c r="F122" s="232"/>
      <c r="G122" s="233"/>
    </row>
    <row r="123" spans="1:7" s="25" customFormat="1" ht="18.75" customHeight="1" thickTop="1" thickBot="1">
      <c r="A123" s="224"/>
      <c r="B123" s="225" t="s">
        <v>213</v>
      </c>
      <c r="C123" s="287">
        <v>0.05</v>
      </c>
      <c r="D123" s="227"/>
      <c r="E123" s="225"/>
      <c r="F123" s="228"/>
      <c r="G123" s="229">
        <f>+G98*C123</f>
        <v>0</v>
      </c>
    </row>
    <row r="124" spans="1:7" s="25" customFormat="1" ht="18.75" customHeight="1" thickTop="1" thickBot="1">
      <c r="A124" s="230"/>
      <c r="B124" s="231"/>
      <c r="C124" s="232"/>
      <c r="D124" s="232"/>
      <c r="E124" s="232"/>
      <c r="F124" s="232"/>
      <c r="G124" s="233"/>
    </row>
    <row r="125" spans="1:7" s="25" customFormat="1" ht="18.75" customHeight="1" thickTop="1" thickBot="1">
      <c r="A125" s="224"/>
      <c r="B125" s="225" t="s">
        <v>214</v>
      </c>
      <c r="C125" s="226"/>
      <c r="D125" s="227"/>
      <c r="E125" s="225"/>
      <c r="F125" s="228"/>
      <c r="G125" s="229">
        <f>+G123+G121+G117+G119+G115+G113+G111+G109</f>
        <v>0</v>
      </c>
    </row>
    <row r="126" spans="1:7" s="25" customFormat="1" ht="18.75" customHeight="1" thickTop="1">
      <c r="A126" s="264"/>
      <c r="B126" s="265"/>
      <c r="C126" s="266"/>
      <c r="D126" s="266"/>
      <c r="E126" s="266"/>
      <c r="F126" s="266"/>
      <c r="G126" s="266"/>
    </row>
    <row r="127" spans="1:7" s="25" customFormat="1" ht="18.75" customHeight="1">
      <c r="A127" s="264"/>
      <c r="B127" s="265"/>
      <c r="C127" s="266"/>
      <c r="D127" s="266"/>
      <c r="E127" s="266"/>
      <c r="F127" s="267"/>
      <c r="G127" s="266"/>
    </row>
    <row r="128" spans="1:7" s="25" customFormat="1" ht="15" customHeight="1">
      <c r="A128" s="132"/>
      <c r="B128" s="132"/>
      <c r="C128" s="133"/>
      <c r="D128" s="132"/>
      <c r="E128" s="134"/>
      <c r="F128" s="135"/>
      <c r="G128" s="135"/>
    </row>
    <row r="129" spans="1:7" s="25" customFormat="1" ht="15" customHeight="1">
      <c r="A129" s="132"/>
      <c r="B129" s="132"/>
      <c r="C129" s="133"/>
      <c r="D129" s="132"/>
      <c r="E129" s="134"/>
      <c r="F129" s="135"/>
      <c r="G129" s="135"/>
    </row>
    <row r="130" spans="1:7" s="25" customFormat="1" ht="15" customHeight="1">
      <c r="A130" s="132"/>
      <c r="B130" s="132"/>
      <c r="C130" s="133"/>
      <c r="D130" s="132"/>
      <c r="E130" s="134"/>
      <c r="F130" s="135"/>
      <c r="G130" s="135"/>
    </row>
    <row r="131" spans="1:7" s="25" customFormat="1" ht="15" customHeight="1">
      <c r="A131" s="132"/>
      <c r="B131" s="132"/>
      <c r="C131" s="133"/>
      <c r="D131" s="132"/>
      <c r="E131" s="134"/>
      <c r="F131" s="135"/>
      <c r="G131" s="135"/>
    </row>
    <row r="132" spans="1:7" s="25" customFormat="1" ht="15" customHeight="1">
      <c r="A132" s="132"/>
      <c r="B132" s="132"/>
      <c r="C132" s="133"/>
      <c r="D132" s="132"/>
      <c r="E132" s="134"/>
      <c r="F132" s="135"/>
      <c r="G132" s="135"/>
    </row>
    <row r="133" spans="1:7" s="25" customFormat="1" ht="15" customHeight="1">
      <c r="A133" s="132"/>
      <c r="B133" s="132"/>
      <c r="C133" s="133"/>
      <c r="D133" s="132"/>
      <c r="E133" s="134"/>
      <c r="F133" s="135"/>
      <c r="G133" s="135"/>
    </row>
    <row r="134" spans="1:7" s="25" customFormat="1" ht="15" customHeight="1">
      <c r="A134" s="132"/>
      <c r="B134" s="132"/>
      <c r="C134" s="133"/>
      <c r="D134" s="132"/>
      <c r="E134" s="134"/>
      <c r="F134" s="135"/>
      <c r="G134" s="135"/>
    </row>
    <row r="135" spans="1:7" s="25" customFormat="1" ht="15" customHeight="1">
      <c r="A135" s="132"/>
      <c r="B135" s="132"/>
      <c r="C135" s="133"/>
      <c r="D135" s="132"/>
      <c r="E135" s="134"/>
      <c r="F135" s="135"/>
      <c r="G135" s="135"/>
    </row>
    <row r="136" spans="1:7" s="25" customFormat="1" ht="15" customHeight="1">
      <c r="A136" s="132"/>
      <c r="B136" s="132"/>
      <c r="C136" s="133"/>
      <c r="D136" s="132"/>
      <c r="E136" s="134"/>
      <c r="F136" s="135"/>
      <c r="G136" s="135"/>
    </row>
    <row r="137" spans="1:7" s="25" customFormat="1" ht="15" customHeight="1">
      <c r="A137" s="132"/>
      <c r="B137" s="132"/>
      <c r="C137" s="133"/>
      <c r="D137" s="132"/>
      <c r="E137" s="134"/>
      <c r="F137" s="135"/>
      <c r="G137" s="135"/>
    </row>
    <row r="138" spans="1:7" s="25" customFormat="1" ht="15" customHeight="1">
      <c r="A138" s="132"/>
      <c r="B138" s="132"/>
      <c r="C138" s="133"/>
      <c r="D138" s="132"/>
      <c r="E138" s="134"/>
      <c r="F138" s="135"/>
      <c r="G138" s="135"/>
    </row>
    <row r="139" spans="1:7" s="25" customFormat="1" ht="15" customHeight="1">
      <c r="A139" s="132"/>
      <c r="B139" s="132"/>
      <c r="C139" s="133"/>
      <c r="D139" s="132"/>
      <c r="E139" s="134"/>
      <c r="F139" s="135"/>
      <c r="G139" s="135"/>
    </row>
    <row r="140" spans="1:7" s="25" customFormat="1" ht="15" customHeight="1">
      <c r="A140" s="132"/>
      <c r="B140" s="132"/>
      <c r="C140" s="133"/>
      <c r="D140" s="132"/>
      <c r="E140" s="134"/>
      <c r="F140" s="135"/>
      <c r="G140" s="135"/>
    </row>
    <row r="141" spans="1:7" s="25" customFormat="1" ht="15" customHeight="1">
      <c r="A141" s="132"/>
      <c r="B141" s="132"/>
      <c r="C141" s="133"/>
      <c r="D141" s="132"/>
      <c r="E141" s="134"/>
      <c r="F141" s="135"/>
      <c r="G141" s="135"/>
    </row>
    <row r="142" spans="1:7" s="25" customFormat="1" ht="15" customHeight="1">
      <c r="A142" s="132"/>
      <c r="B142" s="132"/>
      <c r="C142" s="133"/>
      <c r="D142" s="132"/>
      <c r="E142" s="134"/>
      <c r="F142" s="135"/>
      <c r="G142" s="135"/>
    </row>
    <row r="143" spans="1:7" s="25" customFormat="1" ht="15" customHeight="1">
      <c r="A143" s="132"/>
      <c r="B143" s="132"/>
      <c r="C143" s="133"/>
      <c r="D143" s="132"/>
      <c r="E143" s="134"/>
      <c r="F143" s="135"/>
      <c r="G143" s="135"/>
    </row>
    <row r="144" spans="1:7" s="25" customFormat="1" ht="15" customHeight="1">
      <c r="A144" s="132"/>
      <c r="B144" s="132"/>
      <c r="C144" s="133"/>
      <c r="D144" s="132"/>
      <c r="E144" s="134"/>
      <c r="F144" s="135"/>
      <c r="G144" s="135"/>
    </row>
    <row r="145" spans="1:7" s="25" customFormat="1" ht="15" customHeight="1">
      <c r="A145" s="132"/>
      <c r="B145" s="132"/>
      <c r="C145" s="133"/>
      <c r="D145" s="132"/>
      <c r="E145" s="134"/>
      <c r="F145" s="135"/>
      <c r="G145" s="135"/>
    </row>
    <row r="146" spans="1:7" s="25" customFormat="1" ht="15" customHeight="1">
      <c r="A146" s="132"/>
      <c r="B146" s="132"/>
      <c r="C146" s="133"/>
      <c r="D146" s="132"/>
      <c r="E146" s="134"/>
      <c r="F146" s="135"/>
      <c r="G146" s="135"/>
    </row>
    <row r="147" spans="1:7" s="25" customFormat="1" ht="15" customHeight="1">
      <c r="A147" s="132"/>
      <c r="B147" s="132"/>
      <c r="C147" s="133"/>
      <c r="D147" s="132"/>
      <c r="E147" s="134"/>
      <c r="F147" s="135"/>
      <c r="G147" s="135"/>
    </row>
    <row r="148" spans="1:7" s="25" customFormat="1" ht="15" customHeight="1">
      <c r="A148" s="132"/>
      <c r="B148" s="132"/>
      <c r="C148" s="133"/>
      <c r="D148" s="132"/>
      <c r="E148" s="134"/>
      <c r="F148" s="135"/>
      <c r="G148" s="135"/>
    </row>
    <row r="149" spans="1:7" s="25" customFormat="1" ht="15" customHeight="1">
      <c r="A149" s="132"/>
      <c r="B149" s="132"/>
      <c r="C149" s="133"/>
      <c r="D149" s="132"/>
      <c r="E149" s="134"/>
      <c r="F149" s="135"/>
      <c r="G149" s="135"/>
    </row>
    <row r="150" spans="1:7" s="25" customFormat="1" ht="15" customHeight="1">
      <c r="A150" s="132"/>
      <c r="B150" s="132"/>
      <c r="C150" s="133"/>
      <c r="D150" s="132"/>
      <c r="E150" s="134"/>
      <c r="F150" s="135"/>
      <c r="G150" s="135"/>
    </row>
    <row r="151" spans="1:7" s="25" customFormat="1" ht="15" customHeight="1">
      <c r="A151" s="132"/>
      <c r="B151" s="132"/>
      <c r="C151" s="133"/>
      <c r="D151" s="132"/>
      <c r="E151" s="134"/>
      <c r="F151" s="135"/>
      <c r="G151" s="135"/>
    </row>
    <row r="152" spans="1:7" s="25" customFormat="1" ht="15" customHeight="1">
      <c r="A152" s="132"/>
      <c r="B152" s="132"/>
      <c r="C152" s="133"/>
      <c r="D152" s="132"/>
      <c r="E152" s="134"/>
      <c r="F152" s="135"/>
      <c r="G152" s="135"/>
    </row>
    <row r="153" spans="1:7" s="25" customFormat="1" ht="15" customHeight="1">
      <c r="A153" s="132"/>
      <c r="B153" s="132"/>
      <c r="C153" s="133"/>
      <c r="D153" s="132"/>
      <c r="E153" s="134"/>
      <c r="F153" s="135"/>
      <c r="G153" s="135"/>
    </row>
    <row r="154" spans="1:7" s="25" customFormat="1" ht="15" customHeight="1">
      <c r="A154" s="132"/>
      <c r="B154" s="132"/>
      <c r="C154" s="133"/>
      <c r="D154" s="132"/>
      <c r="E154" s="134"/>
      <c r="F154" s="135"/>
      <c r="G154" s="135"/>
    </row>
    <row r="155" spans="1:7" s="25" customFormat="1" ht="15" customHeight="1">
      <c r="A155" s="132"/>
      <c r="B155" s="132"/>
      <c r="C155" s="133"/>
      <c r="D155" s="132"/>
      <c r="E155" s="134"/>
      <c r="F155" s="135"/>
      <c r="G155" s="135"/>
    </row>
    <row r="156" spans="1:7" s="25" customFormat="1" ht="15" customHeight="1">
      <c r="A156" s="132"/>
      <c r="B156" s="132"/>
      <c r="C156" s="133"/>
      <c r="D156" s="132"/>
      <c r="E156" s="134"/>
      <c r="F156" s="135"/>
      <c r="G156" s="135"/>
    </row>
    <row r="157" spans="1:7" s="25" customFormat="1" ht="15" customHeight="1">
      <c r="A157" s="132"/>
      <c r="B157" s="132"/>
      <c r="C157" s="133"/>
      <c r="D157" s="132"/>
      <c r="E157" s="134"/>
      <c r="F157" s="135"/>
      <c r="G157" s="135"/>
    </row>
    <row r="158" spans="1:7" s="25" customFormat="1" ht="15" customHeight="1">
      <c r="A158" s="132"/>
      <c r="B158" s="132"/>
      <c r="C158" s="133"/>
      <c r="D158" s="132"/>
      <c r="E158" s="134"/>
      <c r="F158" s="135"/>
      <c r="G158" s="135"/>
    </row>
    <row r="159" spans="1:7" s="25" customFormat="1" ht="15" customHeight="1">
      <c r="A159" s="132"/>
      <c r="B159" s="132"/>
      <c r="C159" s="133"/>
      <c r="D159" s="132"/>
      <c r="E159" s="134"/>
      <c r="F159" s="135"/>
      <c r="G159" s="135"/>
    </row>
    <row r="160" spans="1:7" s="25" customFormat="1" ht="15" customHeight="1">
      <c r="A160" s="132"/>
      <c r="B160" s="132"/>
      <c r="C160" s="133"/>
      <c r="D160" s="132"/>
      <c r="E160" s="134"/>
      <c r="F160" s="135"/>
      <c r="G160" s="135"/>
    </row>
    <row r="161" spans="1:7" s="25" customFormat="1" ht="15" customHeight="1">
      <c r="A161" s="132"/>
      <c r="B161" s="132"/>
      <c r="C161" s="133"/>
      <c r="D161" s="132"/>
      <c r="E161" s="134"/>
      <c r="F161" s="135"/>
      <c r="G161" s="135"/>
    </row>
    <row r="162" spans="1:7" s="25" customFormat="1" ht="15" customHeight="1">
      <c r="A162" s="132"/>
      <c r="B162" s="132"/>
      <c r="C162" s="133"/>
      <c r="D162" s="132"/>
      <c r="E162" s="134"/>
      <c r="F162" s="135"/>
      <c r="G162" s="135"/>
    </row>
    <row r="163" spans="1:7" s="25" customFormat="1" ht="15" customHeight="1">
      <c r="A163" s="132"/>
      <c r="B163" s="132"/>
      <c r="C163" s="133"/>
      <c r="D163" s="132"/>
      <c r="E163" s="134"/>
      <c r="F163" s="135"/>
      <c r="G163" s="135"/>
    </row>
    <row r="164" spans="1:7" s="25" customFormat="1" ht="15" customHeight="1">
      <c r="A164" s="132"/>
      <c r="B164" s="132"/>
      <c r="C164" s="133"/>
      <c r="D164" s="132"/>
      <c r="E164" s="134"/>
      <c r="F164" s="135"/>
      <c r="G164" s="135"/>
    </row>
    <row r="165" spans="1:7" s="25" customFormat="1" ht="15" customHeight="1">
      <c r="A165" s="132"/>
      <c r="B165" s="132"/>
      <c r="C165" s="133"/>
      <c r="D165" s="132"/>
      <c r="E165" s="134"/>
      <c r="F165" s="135"/>
      <c r="G165" s="135"/>
    </row>
    <row r="166" spans="1:7" s="25" customFormat="1" ht="15" customHeight="1">
      <c r="A166" s="132"/>
      <c r="B166" s="132"/>
      <c r="C166" s="133"/>
      <c r="D166" s="132"/>
      <c r="E166" s="134"/>
      <c r="F166" s="135"/>
      <c r="G166" s="135"/>
    </row>
    <row r="167" spans="1:7" s="25" customFormat="1" ht="15" customHeight="1">
      <c r="A167" s="132"/>
      <c r="B167" s="132"/>
      <c r="C167" s="133"/>
      <c r="D167" s="132"/>
      <c r="E167" s="134"/>
      <c r="F167" s="135"/>
      <c r="G167" s="135"/>
    </row>
    <row r="168" spans="1:7" s="25" customFormat="1" ht="15" customHeight="1">
      <c r="A168" s="132"/>
      <c r="B168" s="132"/>
      <c r="C168" s="133"/>
      <c r="D168" s="132"/>
      <c r="E168" s="134"/>
      <c r="F168" s="135"/>
      <c r="G168" s="135"/>
    </row>
    <row r="169" spans="1:7" s="25" customFormat="1" ht="15" customHeight="1">
      <c r="A169" s="132"/>
      <c r="B169" s="132"/>
      <c r="C169" s="133"/>
      <c r="D169" s="132"/>
      <c r="E169" s="134"/>
      <c r="F169" s="135"/>
      <c r="G169" s="135"/>
    </row>
    <row r="170" spans="1:7" s="25" customFormat="1" ht="15" customHeight="1">
      <c r="A170" s="132"/>
      <c r="B170" s="132"/>
      <c r="C170" s="133"/>
      <c r="D170" s="132"/>
      <c r="E170" s="134"/>
      <c r="F170" s="135"/>
      <c r="G170" s="135"/>
    </row>
    <row r="171" spans="1:7" s="25" customFormat="1" ht="15" customHeight="1">
      <c r="A171" s="132"/>
      <c r="B171" s="132"/>
      <c r="C171" s="133"/>
      <c r="D171" s="132"/>
      <c r="E171" s="134"/>
      <c r="F171" s="135"/>
      <c r="G171" s="135"/>
    </row>
    <row r="172" spans="1:7" s="25" customFormat="1" ht="15" customHeight="1">
      <c r="A172" s="132"/>
      <c r="B172" s="132"/>
      <c r="C172" s="133"/>
      <c r="D172" s="132"/>
      <c r="E172" s="134"/>
      <c r="F172" s="135"/>
      <c r="G172" s="135"/>
    </row>
    <row r="173" spans="1:7" s="25" customFormat="1" ht="15" customHeight="1">
      <c r="A173" s="132"/>
      <c r="B173" s="132"/>
      <c r="C173" s="133"/>
      <c r="D173" s="132"/>
      <c r="E173" s="134"/>
      <c r="F173" s="135"/>
      <c r="G173" s="135"/>
    </row>
    <row r="174" spans="1:7" s="25" customFormat="1" ht="15" customHeight="1">
      <c r="A174" s="132"/>
      <c r="B174" s="132"/>
      <c r="C174" s="133"/>
      <c r="D174" s="132"/>
      <c r="E174" s="134"/>
      <c r="F174" s="135"/>
      <c r="G174" s="135"/>
    </row>
    <row r="175" spans="1:7" s="25" customFormat="1" ht="15" customHeight="1">
      <c r="A175" s="132"/>
      <c r="B175" s="132"/>
      <c r="C175" s="133"/>
      <c r="D175" s="132"/>
      <c r="E175" s="134"/>
      <c r="F175" s="135"/>
      <c r="G175" s="135"/>
    </row>
    <row r="176" spans="1:7" s="25" customFormat="1" ht="15" customHeight="1">
      <c r="A176" s="132"/>
      <c r="B176" s="132"/>
      <c r="C176" s="133"/>
      <c r="D176" s="132"/>
      <c r="E176" s="134"/>
      <c r="F176" s="135"/>
      <c r="G176" s="135"/>
    </row>
    <row r="177" spans="1:7" s="25" customFormat="1" ht="15" customHeight="1">
      <c r="A177" s="132"/>
      <c r="B177" s="132"/>
      <c r="C177" s="133"/>
      <c r="D177" s="132"/>
      <c r="E177" s="134"/>
      <c r="F177" s="135"/>
      <c r="G177" s="135"/>
    </row>
    <row r="178" spans="1:7" s="25" customFormat="1" ht="15" customHeight="1">
      <c r="A178" s="132"/>
      <c r="B178" s="132"/>
      <c r="C178" s="133"/>
      <c r="D178" s="132"/>
      <c r="E178" s="134"/>
      <c r="F178" s="135"/>
      <c r="G178" s="135"/>
    </row>
    <row r="179" spans="1:7" s="25" customFormat="1" ht="15" customHeight="1">
      <c r="A179" s="132"/>
      <c r="B179" s="132"/>
      <c r="C179" s="133"/>
      <c r="D179" s="132"/>
      <c r="E179" s="134"/>
      <c r="F179" s="135"/>
      <c r="G179" s="135"/>
    </row>
    <row r="180" spans="1:7" s="25" customFormat="1" ht="15" customHeight="1">
      <c r="A180" s="132"/>
      <c r="B180" s="132"/>
      <c r="C180" s="133"/>
      <c r="D180" s="132"/>
      <c r="E180" s="134"/>
      <c r="F180" s="135"/>
      <c r="G180" s="135"/>
    </row>
    <row r="181" spans="1:7" s="25" customFormat="1" ht="15" customHeight="1">
      <c r="A181" s="132"/>
      <c r="B181" s="132"/>
      <c r="C181" s="133"/>
      <c r="D181" s="132"/>
      <c r="E181" s="134"/>
      <c r="F181" s="135"/>
      <c r="G181" s="135"/>
    </row>
    <row r="182" spans="1:7" s="25" customFormat="1" ht="15" customHeight="1">
      <c r="A182" s="132"/>
      <c r="B182" s="132"/>
      <c r="C182" s="133"/>
      <c r="D182" s="132"/>
      <c r="E182" s="134"/>
      <c r="F182" s="135"/>
      <c r="G182" s="135"/>
    </row>
    <row r="183" spans="1:7" s="25" customFormat="1" ht="15" customHeight="1">
      <c r="A183" s="132"/>
      <c r="B183" s="132"/>
      <c r="C183" s="133"/>
      <c r="D183" s="132"/>
      <c r="E183" s="134"/>
      <c r="F183" s="135"/>
      <c r="G183" s="135"/>
    </row>
    <row r="184" spans="1:7" s="25" customFormat="1" ht="15" customHeight="1">
      <c r="A184" s="132"/>
      <c r="B184" s="132"/>
      <c r="C184" s="133"/>
      <c r="D184" s="132"/>
      <c r="E184" s="134"/>
      <c r="F184" s="135"/>
      <c r="G184" s="135"/>
    </row>
    <row r="185" spans="1:7" s="25" customFormat="1" ht="15" customHeight="1">
      <c r="A185" s="132"/>
      <c r="B185" s="132"/>
      <c r="C185" s="133"/>
      <c r="D185" s="132"/>
      <c r="E185" s="134"/>
      <c r="F185" s="135"/>
      <c r="G185" s="135"/>
    </row>
    <row r="186" spans="1:7" s="25" customFormat="1" ht="15" customHeight="1">
      <c r="A186" s="132"/>
      <c r="B186" s="132"/>
      <c r="C186" s="133"/>
      <c r="D186" s="132"/>
      <c r="E186" s="134"/>
      <c r="F186" s="135"/>
      <c r="G186" s="135"/>
    </row>
    <row r="187" spans="1:7" s="25" customFormat="1" ht="15" customHeight="1">
      <c r="A187" s="132"/>
      <c r="B187" s="132"/>
      <c r="C187" s="133"/>
      <c r="D187" s="132"/>
      <c r="E187" s="134"/>
      <c r="F187" s="135"/>
      <c r="G187" s="135"/>
    </row>
    <row r="188" spans="1:7" s="25" customFormat="1" ht="15" customHeight="1">
      <c r="A188" s="132"/>
      <c r="B188" s="132"/>
      <c r="C188" s="133"/>
      <c r="D188" s="132"/>
      <c r="E188" s="134"/>
      <c r="F188" s="135"/>
      <c r="G188" s="135"/>
    </row>
    <row r="189" spans="1:7" s="25" customFormat="1" ht="15" customHeight="1">
      <c r="A189" s="132"/>
      <c r="B189" s="132"/>
      <c r="C189" s="133"/>
      <c r="D189" s="132"/>
      <c r="E189" s="134"/>
      <c r="F189" s="135"/>
      <c r="G189" s="135"/>
    </row>
    <row r="190" spans="1:7" s="25" customFormat="1" ht="15" customHeight="1">
      <c r="A190" s="132"/>
      <c r="B190" s="132"/>
      <c r="C190" s="133"/>
      <c r="D190" s="132"/>
      <c r="E190" s="134"/>
      <c r="F190" s="135"/>
      <c r="G190" s="135"/>
    </row>
    <row r="191" spans="1:7" s="25" customFormat="1" ht="15" customHeight="1">
      <c r="A191" s="132"/>
      <c r="B191" s="132"/>
      <c r="C191" s="133"/>
      <c r="D191" s="132"/>
      <c r="E191" s="134"/>
      <c r="F191" s="135"/>
      <c r="G191" s="135"/>
    </row>
    <row r="192" spans="1:7" s="25" customFormat="1" ht="15" customHeight="1">
      <c r="A192" s="132"/>
      <c r="B192" s="132"/>
      <c r="C192" s="133"/>
      <c r="D192" s="132"/>
      <c r="E192" s="134"/>
      <c r="F192" s="135"/>
      <c r="G192" s="135"/>
    </row>
    <row r="193" spans="1:7" s="25" customFormat="1" ht="15" customHeight="1">
      <c r="A193" s="132"/>
      <c r="B193" s="132"/>
      <c r="C193" s="133"/>
      <c r="D193" s="132"/>
      <c r="E193" s="134"/>
      <c r="F193" s="135"/>
      <c r="G193" s="135"/>
    </row>
    <row r="194" spans="1:7" s="25" customFormat="1" ht="15" customHeight="1">
      <c r="A194" s="132"/>
      <c r="B194" s="132"/>
      <c r="C194" s="133"/>
      <c r="D194" s="132"/>
      <c r="E194" s="134"/>
      <c r="F194" s="135"/>
      <c r="G194" s="135"/>
    </row>
    <row r="195" spans="1:7" s="25" customFormat="1" ht="15" customHeight="1">
      <c r="A195" s="132"/>
      <c r="B195" s="132"/>
      <c r="C195" s="133"/>
      <c r="D195" s="132"/>
      <c r="E195" s="134"/>
      <c r="F195" s="135"/>
      <c r="G195" s="135"/>
    </row>
    <row r="196" spans="1:7" s="25" customFormat="1" ht="15" customHeight="1">
      <c r="A196" s="132"/>
      <c r="B196" s="132"/>
      <c r="C196" s="133"/>
      <c r="D196" s="132"/>
      <c r="E196" s="134"/>
      <c r="F196" s="135"/>
      <c r="G196" s="135"/>
    </row>
    <row r="197" spans="1:7" s="25" customFormat="1" ht="15" customHeight="1">
      <c r="A197" s="132"/>
      <c r="B197" s="132"/>
      <c r="C197" s="133"/>
      <c r="D197" s="132"/>
      <c r="E197" s="134"/>
      <c r="F197" s="135"/>
      <c r="G197" s="135"/>
    </row>
    <row r="198" spans="1:7" s="25" customFormat="1" ht="15" customHeight="1">
      <c r="A198" s="132"/>
      <c r="B198" s="132"/>
      <c r="C198" s="133"/>
      <c r="D198" s="132"/>
      <c r="E198" s="134"/>
      <c r="F198" s="135"/>
      <c r="G198" s="135"/>
    </row>
    <row r="199" spans="1:7" s="25" customFormat="1" ht="15" customHeight="1">
      <c r="A199" s="132"/>
      <c r="B199" s="132"/>
      <c r="C199" s="133"/>
      <c r="D199" s="132"/>
      <c r="E199" s="134"/>
      <c r="F199" s="135"/>
      <c r="G199" s="135"/>
    </row>
    <row r="200" spans="1:7" s="25" customFormat="1" ht="15" customHeight="1">
      <c r="A200" s="132"/>
      <c r="B200" s="132"/>
      <c r="C200" s="133"/>
      <c r="D200" s="132"/>
      <c r="E200" s="134"/>
      <c r="F200" s="135"/>
      <c r="G200" s="135"/>
    </row>
    <row r="201" spans="1:7" s="25" customFormat="1" ht="15" customHeight="1">
      <c r="A201" s="132"/>
      <c r="B201" s="132"/>
      <c r="C201" s="133"/>
      <c r="D201" s="132"/>
      <c r="E201" s="134"/>
      <c r="F201" s="135"/>
      <c r="G201" s="135"/>
    </row>
    <row r="202" spans="1:7" s="25" customFormat="1" ht="15" customHeight="1">
      <c r="A202" s="132"/>
      <c r="B202" s="132"/>
      <c r="C202" s="133"/>
      <c r="D202" s="132"/>
      <c r="E202" s="134"/>
      <c r="F202" s="135"/>
      <c r="G202" s="135"/>
    </row>
    <row r="203" spans="1:7" s="25" customFormat="1" ht="15" customHeight="1">
      <c r="A203" s="132"/>
      <c r="B203" s="132"/>
      <c r="C203" s="133"/>
      <c r="D203" s="132"/>
      <c r="E203" s="134"/>
      <c r="F203" s="135"/>
      <c r="G203" s="135"/>
    </row>
    <row r="204" spans="1:7" s="25" customFormat="1" ht="15" customHeight="1">
      <c r="A204" s="132"/>
      <c r="B204" s="132"/>
      <c r="C204" s="133"/>
      <c r="D204" s="132"/>
      <c r="E204" s="134"/>
      <c r="F204" s="135"/>
      <c r="G204" s="135"/>
    </row>
    <row r="205" spans="1:7" s="25" customFormat="1" ht="15" customHeight="1">
      <c r="A205" s="132"/>
      <c r="B205" s="132"/>
      <c r="C205" s="133"/>
      <c r="D205" s="132"/>
      <c r="E205" s="134"/>
      <c r="F205" s="135"/>
      <c r="G205" s="135"/>
    </row>
    <row r="206" spans="1:7" s="25" customFormat="1" ht="15" customHeight="1">
      <c r="A206" s="132"/>
      <c r="B206" s="132"/>
      <c r="C206" s="133"/>
      <c r="D206" s="132"/>
      <c r="E206" s="134"/>
      <c r="F206" s="135"/>
      <c r="G206" s="135"/>
    </row>
    <row r="207" spans="1:7" s="25" customFormat="1" ht="15" customHeight="1">
      <c r="A207" s="132"/>
      <c r="B207" s="132"/>
      <c r="C207" s="133"/>
      <c r="D207" s="132"/>
      <c r="E207" s="134"/>
      <c r="F207" s="135"/>
      <c r="G207" s="135"/>
    </row>
    <row r="208" spans="1:7" s="25" customFormat="1" ht="15" customHeight="1">
      <c r="A208" s="132"/>
      <c r="B208" s="132"/>
      <c r="C208" s="133"/>
      <c r="D208" s="132"/>
      <c r="E208" s="134"/>
      <c r="F208" s="135"/>
      <c r="G208" s="135"/>
    </row>
    <row r="209" spans="1:7" s="25" customFormat="1" ht="15" customHeight="1">
      <c r="A209" s="132"/>
      <c r="B209" s="132"/>
      <c r="C209" s="133"/>
      <c r="D209" s="132"/>
      <c r="E209" s="134"/>
      <c r="F209" s="135"/>
      <c r="G209" s="135"/>
    </row>
    <row r="210" spans="1:7" s="25" customFormat="1" ht="15" customHeight="1">
      <c r="A210" s="132"/>
      <c r="B210" s="132"/>
      <c r="C210" s="133"/>
      <c r="D210" s="132"/>
      <c r="E210" s="134"/>
      <c r="F210" s="135"/>
      <c r="G210" s="135"/>
    </row>
    <row r="211" spans="1:7" s="25" customFormat="1" ht="15" customHeight="1">
      <c r="A211" s="132"/>
      <c r="B211" s="132"/>
      <c r="C211" s="133"/>
      <c r="D211" s="132"/>
      <c r="E211" s="134"/>
      <c r="F211" s="135"/>
      <c r="G211" s="135"/>
    </row>
    <row r="212" spans="1:7" s="25" customFormat="1" ht="15" customHeight="1">
      <c r="A212" s="132"/>
      <c r="B212" s="132"/>
      <c r="C212" s="133"/>
      <c r="D212" s="132"/>
      <c r="E212" s="134"/>
      <c r="F212" s="135"/>
      <c r="G212" s="135"/>
    </row>
    <row r="213" spans="1:7" s="25" customFormat="1" ht="15" customHeight="1">
      <c r="A213" s="132"/>
      <c r="B213" s="132"/>
      <c r="C213" s="133"/>
      <c r="D213" s="132"/>
      <c r="E213" s="134"/>
      <c r="F213" s="135"/>
      <c r="G213" s="135"/>
    </row>
    <row r="214" spans="1:7" s="25" customFormat="1" ht="15" customHeight="1">
      <c r="A214" s="132"/>
      <c r="B214" s="132"/>
      <c r="C214" s="133"/>
      <c r="D214" s="132"/>
      <c r="E214" s="134"/>
      <c r="F214" s="135"/>
      <c r="G214" s="135"/>
    </row>
    <row r="215" spans="1:7" s="25" customFormat="1" ht="15" customHeight="1">
      <c r="A215" s="132"/>
      <c r="B215" s="132"/>
      <c r="C215" s="133"/>
      <c r="D215" s="132"/>
      <c r="E215" s="134"/>
      <c r="F215" s="135"/>
      <c r="G215" s="135"/>
    </row>
    <row r="216" spans="1:7" s="25" customFormat="1" ht="15" customHeight="1">
      <c r="A216" s="132"/>
      <c r="B216" s="132"/>
      <c r="C216" s="133"/>
      <c r="D216" s="132"/>
      <c r="E216" s="134"/>
      <c r="F216" s="135"/>
      <c r="G216" s="135"/>
    </row>
    <row r="217" spans="1:7" s="25" customFormat="1" ht="15" customHeight="1">
      <c r="A217" s="132"/>
      <c r="B217" s="132"/>
      <c r="C217" s="133"/>
      <c r="D217" s="132"/>
      <c r="E217" s="134"/>
      <c r="F217" s="135"/>
      <c r="G217" s="135"/>
    </row>
    <row r="218" spans="1:7" s="25" customFormat="1" ht="15" customHeight="1">
      <c r="A218" s="132"/>
      <c r="B218" s="132"/>
      <c r="C218" s="133"/>
      <c r="D218" s="132"/>
      <c r="E218" s="134"/>
      <c r="F218" s="135"/>
      <c r="G218" s="135"/>
    </row>
    <row r="219" spans="1:7" s="25" customFormat="1" ht="15" customHeight="1">
      <c r="A219" s="132"/>
      <c r="B219" s="132"/>
      <c r="C219" s="133"/>
      <c r="D219" s="132"/>
      <c r="E219" s="134"/>
      <c r="F219" s="135"/>
      <c r="G219" s="135"/>
    </row>
    <row r="220" spans="1:7" s="25" customFormat="1" ht="15" customHeight="1">
      <c r="A220" s="132"/>
      <c r="B220" s="132"/>
      <c r="C220" s="133"/>
      <c r="D220" s="132"/>
      <c r="E220" s="134"/>
      <c r="F220" s="135"/>
      <c r="G220" s="135"/>
    </row>
    <row r="221" spans="1:7" s="25" customFormat="1" ht="15" customHeight="1">
      <c r="A221" s="132"/>
      <c r="B221" s="132"/>
      <c r="C221" s="133"/>
      <c r="D221" s="132"/>
      <c r="E221" s="134"/>
      <c r="F221" s="135"/>
      <c r="G221" s="135"/>
    </row>
    <row r="222" spans="1:7" s="25" customFormat="1" ht="15" customHeight="1">
      <c r="A222" s="132"/>
      <c r="B222" s="132"/>
      <c r="C222" s="133"/>
      <c r="D222" s="132"/>
      <c r="E222" s="134"/>
      <c r="F222" s="135"/>
      <c r="G222" s="135"/>
    </row>
    <row r="223" spans="1:7" s="25" customFormat="1" ht="15" customHeight="1">
      <c r="A223" s="132"/>
      <c r="B223" s="132"/>
      <c r="C223" s="133"/>
      <c r="D223" s="132"/>
      <c r="E223" s="134"/>
      <c r="F223" s="135"/>
      <c r="G223" s="135"/>
    </row>
    <row r="224" spans="1:7" s="25" customFormat="1" ht="15" customHeight="1">
      <c r="A224" s="132"/>
      <c r="B224" s="132"/>
      <c r="C224" s="133"/>
      <c r="D224" s="132"/>
      <c r="E224" s="134"/>
      <c r="F224" s="135"/>
      <c r="G224" s="135"/>
    </row>
    <row r="225" spans="1:7" s="25" customFormat="1" ht="15" customHeight="1">
      <c r="A225" s="132"/>
      <c r="B225" s="132"/>
      <c r="C225" s="133"/>
      <c r="D225" s="132"/>
      <c r="E225" s="134"/>
      <c r="F225" s="135"/>
      <c r="G225" s="135"/>
    </row>
    <row r="226" spans="1:7" s="25" customFormat="1" ht="15" customHeight="1">
      <c r="A226" s="132"/>
      <c r="B226" s="132"/>
      <c r="C226" s="133"/>
      <c r="D226" s="132"/>
      <c r="E226" s="134"/>
      <c r="F226" s="135"/>
      <c r="G226" s="135"/>
    </row>
    <row r="227" spans="1:7" s="25" customFormat="1" ht="15" customHeight="1">
      <c r="A227" s="132"/>
      <c r="B227" s="132"/>
      <c r="C227" s="133"/>
      <c r="D227" s="132"/>
      <c r="E227" s="134"/>
      <c r="F227" s="135"/>
      <c r="G227" s="135"/>
    </row>
    <row r="228" spans="1:7" s="25" customFormat="1" ht="15" customHeight="1">
      <c r="A228" s="132"/>
      <c r="B228" s="132"/>
      <c r="C228" s="133"/>
      <c r="D228" s="132"/>
      <c r="E228" s="134"/>
      <c r="F228" s="135"/>
      <c r="G228" s="135"/>
    </row>
    <row r="229" spans="1:7" s="25" customFormat="1" ht="15" customHeight="1">
      <c r="A229" s="132"/>
      <c r="B229" s="132"/>
      <c r="C229" s="133"/>
      <c r="D229" s="132"/>
      <c r="E229" s="134"/>
      <c r="F229" s="135"/>
      <c r="G229" s="135"/>
    </row>
    <row r="230" spans="1:7" s="25" customFormat="1" ht="15" customHeight="1">
      <c r="A230" s="132"/>
      <c r="B230" s="132"/>
      <c r="C230" s="133"/>
      <c r="D230" s="132"/>
      <c r="E230" s="134"/>
      <c r="F230" s="135"/>
      <c r="G230" s="135"/>
    </row>
    <row r="231" spans="1:7" s="25" customFormat="1" ht="15" customHeight="1">
      <c r="A231" s="132"/>
      <c r="B231" s="132"/>
      <c r="C231" s="133"/>
      <c r="D231" s="132"/>
      <c r="E231" s="134"/>
      <c r="F231" s="135"/>
      <c r="G231" s="135"/>
    </row>
    <row r="232" spans="1:7" s="25" customFormat="1" ht="15" customHeight="1">
      <c r="A232" s="132"/>
      <c r="B232" s="132"/>
      <c r="C232" s="133"/>
      <c r="D232" s="132"/>
      <c r="E232" s="134"/>
      <c r="F232" s="135"/>
      <c r="G232" s="135"/>
    </row>
    <row r="233" spans="1:7" s="25" customFormat="1" ht="15" customHeight="1">
      <c r="A233" s="132"/>
      <c r="B233" s="132"/>
      <c r="C233" s="133"/>
      <c r="D233" s="132"/>
      <c r="E233" s="134"/>
      <c r="F233" s="135"/>
      <c r="G233" s="135"/>
    </row>
    <row r="234" spans="1:7" s="25" customFormat="1" ht="15" customHeight="1">
      <c r="A234" s="132"/>
      <c r="B234" s="132"/>
      <c r="C234" s="133"/>
      <c r="D234" s="132"/>
      <c r="E234" s="134"/>
      <c r="F234" s="135"/>
      <c r="G234" s="135"/>
    </row>
    <row r="235" spans="1:7" s="25" customFormat="1" ht="15" customHeight="1">
      <c r="A235" s="132"/>
      <c r="B235" s="132"/>
      <c r="C235" s="133"/>
      <c r="D235" s="132"/>
      <c r="E235" s="134"/>
      <c r="F235" s="135"/>
      <c r="G235" s="135"/>
    </row>
    <row r="236" spans="1:7" s="25" customFormat="1" ht="15" customHeight="1">
      <c r="A236" s="132"/>
      <c r="B236" s="132"/>
      <c r="C236" s="133"/>
      <c r="D236" s="132"/>
      <c r="E236" s="134"/>
      <c r="F236" s="135"/>
      <c r="G236" s="135"/>
    </row>
    <row r="237" spans="1:7" s="25" customFormat="1" ht="15" customHeight="1">
      <c r="A237" s="132"/>
      <c r="B237" s="132"/>
      <c r="C237" s="133"/>
      <c r="D237" s="132"/>
      <c r="E237" s="134"/>
      <c r="F237" s="135"/>
      <c r="G237" s="135"/>
    </row>
    <row r="238" spans="1:7" s="25" customFormat="1" ht="15" customHeight="1">
      <c r="A238" s="132"/>
      <c r="B238" s="132"/>
      <c r="C238" s="133"/>
      <c r="D238" s="132"/>
      <c r="E238" s="134"/>
      <c r="F238" s="135"/>
      <c r="G238" s="135"/>
    </row>
    <row r="239" spans="1:7" s="25" customFormat="1" ht="15" customHeight="1">
      <c r="A239" s="132"/>
      <c r="B239" s="132"/>
      <c r="C239" s="133"/>
      <c r="D239" s="132"/>
      <c r="E239" s="134"/>
      <c r="F239" s="135"/>
      <c r="G239" s="135"/>
    </row>
    <row r="240" spans="1:7" s="25" customFormat="1" ht="15" customHeight="1">
      <c r="A240" s="132"/>
      <c r="B240" s="132"/>
      <c r="C240" s="133"/>
      <c r="D240" s="132"/>
      <c r="E240" s="134"/>
      <c r="F240" s="135"/>
      <c r="G240" s="135"/>
    </row>
  </sheetData>
  <mergeCells count="4">
    <mergeCell ref="A1:G1"/>
    <mergeCell ref="A2:G2"/>
    <mergeCell ref="A3:G3"/>
    <mergeCell ref="A6:G6"/>
  </mergeCells>
  <printOptions horizontalCentered="1"/>
  <pageMargins left="0.51181102362204722" right="0.39370078740157483" top="0.51181102362204722" bottom="0.98425196850393704" header="0.15748031496062992" footer="0.78740157480314965"/>
  <pageSetup scale="65" orientation="portrait" r:id="rId1"/>
  <headerFooter alignWithMargins="0">
    <oddFooter>&amp;L&amp;9&amp;F&amp;Z&amp;R&amp;11&amp;Pde&amp;N</oddFooter>
  </headerFooter>
  <rowBreaks count="4" manualBreakCount="4">
    <brk id="40" max="6" man="1"/>
    <brk id="58" max="6" man="1"/>
    <brk id="85" max="6" man="1"/>
    <brk id="9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K292"/>
  <sheetViews>
    <sheetView showGridLines="0" showZeros="0" view="pageBreakPreview" topLeftCell="A39" zoomScale="85" zoomScaleSheetLayoutView="85" workbookViewId="0">
      <selection activeCell="B46" sqref="B46"/>
    </sheetView>
  </sheetViews>
  <sheetFormatPr defaultColWidth="11.5546875" defaultRowHeight="15" customHeight="1"/>
  <cols>
    <col min="1" max="1" width="8.33203125" style="31" customWidth="1"/>
    <col min="2" max="2" width="49.21875" style="32" customWidth="1"/>
    <col min="3" max="3" width="12.88671875" style="60" customWidth="1"/>
    <col min="4" max="4" width="8.109375" style="34" customWidth="1"/>
    <col min="5" max="5" width="12.88671875" style="33" customWidth="1"/>
    <col min="6" max="6" width="15.109375" style="57" customWidth="1"/>
    <col min="7" max="7" width="17.88671875" style="56" customWidth="1"/>
    <col min="8" max="8" width="16.77734375" style="25" customWidth="1"/>
    <col min="9" max="9" width="19.5546875" style="25" customWidth="1"/>
    <col min="10" max="10" width="19.88671875" style="25" customWidth="1"/>
    <col min="11" max="11" width="10.77734375" style="25" customWidth="1"/>
    <col min="12" max="16384" width="11.5546875" style="32"/>
  </cols>
  <sheetData>
    <row r="1" spans="1:10" ht="21" customHeight="1">
      <c r="A1" s="518" t="s">
        <v>114</v>
      </c>
      <c r="B1" s="518"/>
      <c r="C1" s="518"/>
      <c r="D1" s="518"/>
      <c r="E1" s="518"/>
      <c r="F1" s="518"/>
      <c r="G1" s="518"/>
    </row>
    <row r="2" spans="1:10" ht="18.75" customHeight="1">
      <c r="A2" s="518" t="s">
        <v>115</v>
      </c>
      <c r="B2" s="518"/>
      <c r="C2" s="518"/>
      <c r="D2" s="518"/>
      <c r="E2" s="518"/>
      <c r="F2" s="518"/>
      <c r="G2" s="518"/>
    </row>
    <row r="3" spans="1:10" ht="15.75" customHeight="1">
      <c r="A3" s="519" t="s">
        <v>116</v>
      </c>
      <c r="B3" s="519"/>
      <c r="C3" s="519"/>
      <c r="D3" s="519"/>
      <c r="E3" s="519"/>
      <c r="F3" s="519"/>
      <c r="G3" s="519"/>
    </row>
    <row r="4" spans="1:10" ht="15" customHeight="1">
      <c r="A4" s="117"/>
      <c r="B4" s="118"/>
      <c r="C4" s="119"/>
      <c r="D4" s="120"/>
      <c r="E4" s="121"/>
      <c r="F4" s="122"/>
      <c r="G4" s="123"/>
    </row>
    <row r="5" spans="1:10" s="125" customFormat="1" ht="18">
      <c r="A5" s="124" t="s">
        <v>259</v>
      </c>
      <c r="B5" s="118"/>
      <c r="C5" s="119"/>
      <c r="D5" s="120"/>
      <c r="E5" s="121"/>
      <c r="F5" s="122"/>
      <c r="G5" s="123"/>
    </row>
    <row r="6" spans="1:10" s="125" customFormat="1" ht="18">
      <c r="A6" s="124"/>
      <c r="B6" s="118"/>
      <c r="C6" s="119"/>
      <c r="D6" s="120"/>
      <c r="E6" s="121"/>
      <c r="F6" s="122"/>
      <c r="G6" s="123"/>
    </row>
    <row r="7" spans="1:10" ht="41.25" customHeight="1">
      <c r="A7" s="520" t="s">
        <v>260</v>
      </c>
      <c r="B7" s="520"/>
      <c r="C7" s="520"/>
      <c r="D7" s="520"/>
      <c r="E7" s="520"/>
      <c r="F7" s="520"/>
      <c r="G7" s="520"/>
    </row>
    <row r="8" spans="1:10" ht="13.5" customHeight="1" thickBot="1">
      <c r="A8" s="126"/>
      <c r="B8" s="127"/>
      <c r="C8" s="128"/>
      <c r="D8" s="127"/>
      <c r="E8" s="129"/>
      <c r="F8" s="130"/>
      <c r="G8" s="131"/>
    </row>
    <row r="9" spans="1:10" ht="18.75" customHeight="1" thickTop="1" thickBot="1">
      <c r="A9" s="26" t="s">
        <v>2</v>
      </c>
      <c r="B9" s="27" t="s">
        <v>119</v>
      </c>
      <c r="C9" s="55" t="s">
        <v>120</v>
      </c>
      <c r="D9" s="27" t="s">
        <v>121</v>
      </c>
      <c r="E9" s="28" t="s">
        <v>122</v>
      </c>
      <c r="F9" s="55" t="s">
        <v>123</v>
      </c>
      <c r="G9" s="58" t="s">
        <v>124</v>
      </c>
      <c r="H9" s="29"/>
    </row>
    <row r="10" spans="1:10" ht="22.5" customHeight="1" thickTop="1">
      <c r="A10" s="364"/>
      <c r="B10" s="365"/>
      <c r="C10" s="366"/>
      <c r="D10" s="367"/>
      <c r="E10" s="368"/>
      <c r="F10" s="369"/>
      <c r="G10" s="370"/>
      <c r="H10" s="29"/>
    </row>
    <row r="11" spans="1:10" ht="22.5" customHeight="1">
      <c r="A11" s="394">
        <v>1</v>
      </c>
      <c r="B11" s="395" t="s">
        <v>125</v>
      </c>
      <c r="C11" s="396"/>
      <c r="D11" s="397"/>
      <c r="E11" s="398"/>
      <c r="F11" s="399"/>
      <c r="G11" s="400"/>
      <c r="H11" s="29"/>
      <c r="I11" s="25">
        <f>0.3*2.54*0.3*2.54*3.14</f>
        <v>1.82</v>
      </c>
    </row>
    <row r="12" spans="1:10" ht="22.5" customHeight="1">
      <c r="A12" s="401">
        <f>+A11+0.1</f>
        <v>1.1000000000000001</v>
      </c>
      <c r="B12" s="402" t="s">
        <v>126</v>
      </c>
      <c r="C12" s="403">
        <v>12</v>
      </c>
      <c r="D12" s="397" t="s">
        <v>127</v>
      </c>
      <c r="E12" s="404">
        <v>231392</v>
      </c>
      <c r="F12" s="405">
        <f t="shared" ref="F12:F21" si="0">+C12*E12</f>
        <v>2776704</v>
      </c>
      <c r="G12" s="400"/>
      <c r="H12" s="29"/>
    </row>
    <row r="13" spans="1:10" ht="34.5" customHeight="1">
      <c r="A13" s="401">
        <f>+A12+0.1</f>
        <v>1.2</v>
      </c>
      <c r="B13" s="402" t="s">
        <v>128</v>
      </c>
      <c r="C13" s="403">
        <v>1</v>
      </c>
      <c r="D13" s="397" t="s">
        <v>129</v>
      </c>
      <c r="E13" s="404">
        <v>1400000</v>
      </c>
      <c r="F13" s="405">
        <f t="shared" si="0"/>
        <v>1400000</v>
      </c>
      <c r="G13" s="400"/>
      <c r="H13" s="29"/>
    </row>
    <row r="14" spans="1:10" ht="21.75" customHeight="1">
      <c r="A14" s="401">
        <f>+A13+0.1</f>
        <v>1.3</v>
      </c>
      <c r="B14" s="402" t="s">
        <v>130</v>
      </c>
      <c r="C14" s="406">
        <v>400</v>
      </c>
      <c r="D14" s="397" t="s">
        <v>131</v>
      </c>
      <c r="E14" s="404">
        <v>3974.42</v>
      </c>
      <c r="F14" s="405">
        <f t="shared" si="0"/>
        <v>1589768</v>
      </c>
      <c r="G14" s="400"/>
      <c r="H14" s="29"/>
      <c r="I14" s="25">
        <f>+I11</f>
        <v>1.82</v>
      </c>
      <c r="J14" s="25" t="e">
        <f>+(C32+#REF!)*I14</f>
        <v>#REF!</v>
      </c>
    </row>
    <row r="15" spans="1:10" ht="21.75" customHeight="1">
      <c r="A15" s="401">
        <f>+A14+0.1</f>
        <v>1.4</v>
      </c>
      <c r="B15" s="402" t="s">
        <v>132</v>
      </c>
      <c r="C15" s="406">
        <v>1</v>
      </c>
      <c r="D15" s="397" t="s">
        <v>129</v>
      </c>
      <c r="E15" s="404">
        <v>600000</v>
      </c>
      <c r="F15" s="405">
        <f t="shared" si="0"/>
        <v>600000</v>
      </c>
      <c r="G15" s="400"/>
      <c r="H15" s="29"/>
    </row>
    <row r="16" spans="1:10" ht="31.5" customHeight="1">
      <c r="A16" s="401">
        <f>+A15+0.1</f>
        <v>1.5</v>
      </c>
      <c r="B16" s="402" t="s">
        <v>133</v>
      </c>
      <c r="C16" s="403">
        <f>+C12</f>
        <v>12</v>
      </c>
      <c r="D16" s="397" t="s">
        <v>127</v>
      </c>
      <c r="E16" s="404">
        <v>357500</v>
      </c>
      <c r="F16" s="405">
        <f t="shared" si="0"/>
        <v>4290000</v>
      </c>
      <c r="G16" s="400">
        <f>SUM(F12:F16)</f>
        <v>10656472</v>
      </c>
      <c r="H16" s="29"/>
    </row>
    <row r="17" spans="1:9" ht="18" customHeight="1">
      <c r="A17" s="426"/>
      <c r="B17" s="423"/>
      <c r="C17" s="425"/>
      <c r="D17" s="420"/>
      <c r="E17" s="421"/>
      <c r="F17" s="424"/>
      <c r="G17" s="422"/>
      <c r="H17" s="29"/>
    </row>
    <row r="18" spans="1:9" ht="25.5" customHeight="1">
      <c r="A18" s="394">
        <v>2</v>
      </c>
      <c r="B18" s="395" t="s">
        <v>134</v>
      </c>
      <c r="C18" s="406"/>
      <c r="D18" s="397"/>
      <c r="E18" s="398"/>
      <c r="F18" s="405"/>
      <c r="G18" s="400"/>
      <c r="H18" s="29"/>
    </row>
    <row r="19" spans="1:9" ht="25.5" customHeight="1">
      <c r="A19" s="401">
        <f>+A18+0.1</f>
        <v>2.1</v>
      </c>
      <c r="B19" s="402" t="s">
        <v>135</v>
      </c>
      <c r="C19" s="406">
        <v>1</v>
      </c>
      <c r="D19" s="397" t="s">
        <v>129</v>
      </c>
      <c r="E19" s="404">
        <v>1000000</v>
      </c>
      <c r="F19" s="405">
        <f t="shared" si="0"/>
        <v>1000000</v>
      </c>
      <c r="G19" s="400"/>
      <c r="H19" s="29"/>
      <c r="I19" s="25" t="e">
        <f>+(C32+#REF!)*(2.5*25)</f>
        <v>#REF!</v>
      </c>
    </row>
    <row r="20" spans="1:9" ht="25.5" customHeight="1">
      <c r="A20" s="401">
        <f>+A19+0.1</f>
        <v>2.2000000000000002</v>
      </c>
      <c r="B20" s="402" t="s">
        <v>136</v>
      </c>
      <c r="C20" s="406">
        <v>1</v>
      </c>
      <c r="D20" s="397" t="s">
        <v>129</v>
      </c>
      <c r="E20" s="404">
        <v>800000</v>
      </c>
      <c r="F20" s="405">
        <f>+C20*E20</f>
        <v>800000</v>
      </c>
      <c r="G20" s="400"/>
      <c r="H20" s="29"/>
      <c r="I20" s="288"/>
    </row>
    <row r="21" spans="1:9" ht="25.5" customHeight="1">
      <c r="A21" s="401">
        <f>+A20+0.1</f>
        <v>2.2999999999999998</v>
      </c>
      <c r="B21" s="402" t="s">
        <v>137</v>
      </c>
      <c r="C21" s="406">
        <v>70</v>
      </c>
      <c r="D21" s="397" t="s">
        <v>138</v>
      </c>
      <c r="E21" s="404">
        <v>2600</v>
      </c>
      <c r="F21" s="405">
        <f t="shared" si="0"/>
        <v>182000</v>
      </c>
      <c r="G21" s="400">
        <f>SUM(F19:F21)</f>
        <v>1982000</v>
      </c>
      <c r="H21" s="29"/>
      <c r="I21" s="288"/>
    </row>
    <row r="22" spans="1:9" ht="18" customHeight="1">
      <c r="A22" s="371"/>
      <c r="B22" s="372"/>
      <c r="C22" s="338"/>
      <c r="D22" s="373"/>
      <c r="E22" s="339"/>
      <c r="F22" s="374"/>
      <c r="G22" s="375"/>
      <c r="H22" s="29"/>
    </row>
    <row r="23" spans="1:9" ht="25.5" customHeight="1">
      <c r="A23" s="384">
        <v>3</v>
      </c>
      <c r="B23" s="385" t="s">
        <v>139</v>
      </c>
      <c r="C23" s="386"/>
      <c r="D23" s="387"/>
      <c r="E23" s="388"/>
      <c r="F23" s="389" t="str">
        <f t="shared" ref="F23:F63" si="1">IF(E23=0," ",(ROUND(C23*E23,2)))</f>
        <v xml:space="preserve"> </v>
      </c>
      <c r="G23" s="390"/>
      <c r="H23" s="29"/>
    </row>
    <row r="24" spans="1:9" ht="25.5" customHeight="1">
      <c r="A24" s="391">
        <f>A23+0.1</f>
        <v>3.1</v>
      </c>
      <c r="B24" s="387" t="s">
        <v>140</v>
      </c>
      <c r="C24" s="386">
        <f>+'TABLA SANITARIA'!M123</f>
        <v>75279.199999999997</v>
      </c>
      <c r="D24" s="392" t="s">
        <v>113</v>
      </c>
      <c r="E24" s="388">
        <v>262.5</v>
      </c>
      <c r="F24" s="393">
        <f t="shared" si="1"/>
        <v>19760790</v>
      </c>
      <c r="G24" s="390"/>
      <c r="H24" s="29"/>
    </row>
    <row r="25" spans="1:9" ht="25.5" customHeight="1">
      <c r="A25" s="391">
        <f t="shared" ref="A25:A29" si="2">A24+0.1</f>
        <v>3.2</v>
      </c>
      <c r="B25" s="387" t="s">
        <v>141</v>
      </c>
      <c r="C25" s="386">
        <f>+'TABLA SANITARIA'!N123</f>
        <v>1144.73</v>
      </c>
      <c r="D25" s="392" t="s">
        <v>113</v>
      </c>
      <c r="E25" s="388">
        <v>1463.87</v>
      </c>
      <c r="F25" s="393">
        <f>IF(E25=0," ",(ROUND(C25*E25,2)))</f>
        <v>1675735.91</v>
      </c>
      <c r="G25" s="390"/>
      <c r="H25" s="29"/>
    </row>
    <row r="26" spans="1:9" ht="25.5" customHeight="1">
      <c r="A26" s="391">
        <f t="shared" si="2"/>
        <v>3.3</v>
      </c>
      <c r="B26" s="387" t="s">
        <v>142</v>
      </c>
      <c r="C26" s="386">
        <f>+'TABLA SANITARIA'!P123</f>
        <v>55216.5</v>
      </c>
      <c r="D26" s="392" t="s">
        <v>113</v>
      </c>
      <c r="E26" s="388">
        <v>942.57</v>
      </c>
      <c r="F26" s="393">
        <f>IF(E26=0," ",(ROUND(C26*E26,2)))</f>
        <v>52045416.409999996</v>
      </c>
      <c r="G26" s="390"/>
      <c r="H26" s="29"/>
    </row>
    <row r="27" spans="1:9" ht="25.5" customHeight="1">
      <c r="A27" s="391">
        <f t="shared" si="2"/>
        <v>3.4</v>
      </c>
      <c r="B27" s="387" t="s">
        <v>143</v>
      </c>
      <c r="C27" s="386">
        <f>+'TABLA SANITARIA'!U123</f>
        <v>2680</v>
      </c>
      <c r="D27" s="392" t="s">
        <v>113</v>
      </c>
      <c r="E27" s="388">
        <f>+'ANALISIS DE COSTOS'!F796</f>
        <v>2748.01</v>
      </c>
      <c r="F27" s="393">
        <f>IF(E27=0," ",(ROUND(C27*E27,2)))</f>
        <v>7364666.7999999998</v>
      </c>
      <c r="G27" s="390"/>
      <c r="H27" s="29"/>
    </row>
    <row r="28" spans="1:9" ht="25.5" customHeight="1">
      <c r="A28" s="391">
        <f t="shared" si="2"/>
        <v>3.5</v>
      </c>
      <c r="B28" s="387" t="s">
        <v>144</v>
      </c>
      <c r="C28" s="386">
        <f>+C26</f>
        <v>55216.5</v>
      </c>
      <c r="D28" s="392" t="s">
        <v>113</v>
      </c>
      <c r="E28" s="388">
        <v>190.27</v>
      </c>
      <c r="F28" s="393">
        <f t="shared" si="1"/>
        <v>10506043.460000001</v>
      </c>
      <c r="G28" s="390"/>
      <c r="H28" s="29"/>
    </row>
    <row r="29" spans="1:9" ht="25.5" customHeight="1">
      <c r="A29" s="391">
        <f t="shared" si="2"/>
        <v>3.6</v>
      </c>
      <c r="B29" s="387" t="s">
        <v>145</v>
      </c>
      <c r="C29" s="386">
        <f>+C24*1.3</f>
        <v>97862.96</v>
      </c>
      <c r="D29" s="392" t="s">
        <v>113</v>
      </c>
      <c r="E29" s="388">
        <v>371.36</v>
      </c>
      <c r="F29" s="393">
        <f t="shared" si="1"/>
        <v>36342388.829999998</v>
      </c>
      <c r="G29" s="390">
        <f>SUM(F24:F29)</f>
        <v>127695041.41</v>
      </c>
      <c r="H29" s="29"/>
    </row>
    <row r="30" spans="1:9" ht="18" customHeight="1">
      <c r="A30" s="464"/>
      <c r="B30" s="387"/>
      <c r="C30" s="386"/>
      <c r="D30" s="387"/>
      <c r="E30" s="388"/>
      <c r="F30" s="393" t="str">
        <f t="shared" si="1"/>
        <v xml:space="preserve"> </v>
      </c>
      <c r="G30" s="390"/>
      <c r="H30" s="29"/>
    </row>
    <row r="31" spans="1:9" ht="25.5" customHeight="1">
      <c r="A31" s="384">
        <v>4</v>
      </c>
      <c r="B31" s="385" t="s">
        <v>146</v>
      </c>
      <c r="C31" s="386"/>
      <c r="D31" s="387"/>
      <c r="E31" s="388"/>
      <c r="F31" s="393" t="str">
        <f t="shared" si="1"/>
        <v xml:space="preserve"> </v>
      </c>
      <c r="G31" s="390"/>
      <c r="H31" s="29"/>
    </row>
    <row r="32" spans="1:9" ht="25.5" customHeight="1">
      <c r="A32" s="391">
        <f>A31+0.1</f>
        <v>4.0999999999999996</v>
      </c>
      <c r="B32" s="387" t="s">
        <v>229</v>
      </c>
      <c r="C32" s="386">
        <f>+'TABLA SANITARIA'!D115</f>
        <v>583.84</v>
      </c>
      <c r="D32" s="392" t="s">
        <v>131</v>
      </c>
      <c r="E32" s="388">
        <v>28250</v>
      </c>
      <c r="F32" s="393">
        <f>IF(E32=0," ",(ROUND(C32*E32,2)))</f>
        <v>16493480</v>
      </c>
      <c r="G32" s="390"/>
      <c r="H32" s="29"/>
      <c r="I32" s="25">
        <f>84*E32</f>
        <v>2373000</v>
      </c>
    </row>
    <row r="33" spans="1:9" ht="25.5" customHeight="1">
      <c r="A33" s="391">
        <f t="shared" ref="A33:A35" si="3">A32+0.1</f>
        <v>4.2</v>
      </c>
      <c r="B33" s="387" t="s">
        <v>230</v>
      </c>
      <c r="C33" s="386">
        <f>+'TABLA SANITARIA'!D112</f>
        <v>366.26</v>
      </c>
      <c r="D33" s="392" t="s">
        <v>131</v>
      </c>
      <c r="E33" s="388">
        <v>13790</v>
      </c>
      <c r="F33" s="393">
        <f>IF(E33=0," ",(ROUND(C33*E33,2)))</f>
        <v>5050725.4000000004</v>
      </c>
      <c r="G33" s="390"/>
      <c r="H33" s="29"/>
      <c r="I33" s="25">
        <f>+I32/80</f>
        <v>29662.5</v>
      </c>
    </row>
    <row r="34" spans="1:9" ht="25.5" customHeight="1">
      <c r="A34" s="391">
        <f t="shared" si="3"/>
        <v>4.3</v>
      </c>
      <c r="B34" s="387" t="s">
        <v>231</v>
      </c>
      <c r="C34" s="386">
        <f>+'TABLA SANITARIA'!D109</f>
        <v>283.89999999999998</v>
      </c>
      <c r="D34" s="392" t="s">
        <v>131</v>
      </c>
      <c r="E34" s="388">
        <v>7650</v>
      </c>
      <c r="F34" s="393">
        <f>IF(E34=0," ",(ROUND(C34*E34,2)))</f>
        <v>2171835</v>
      </c>
      <c r="G34" s="390"/>
      <c r="H34" s="29"/>
    </row>
    <row r="35" spans="1:9" ht="25.5" customHeight="1">
      <c r="A35" s="391">
        <f t="shared" si="3"/>
        <v>4.4000000000000004</v>
      </c>
      <c r="B35" s="387" t="s">
        <v>147</v>
      </c>
      <c r="C35" s="386">
        <f>+'TABLA SANITARIA'!D118</f>
        <v>5990.04</v>
      </c>
      <c r="D35" s="392" t="s">
        <v>131</v>
      </c>
      <c r="E35" s="388">
        <v>7094.19</v>
      </c>
      <c r="F35" s="393">
        <f>IF(E35=0," ",(ROUND(C35*E35,2)))</f>
        <v>42494481.869999997</v>
      </c>
      <c r="G35" s="390">
        <f>SUM(F32:F35)</f>
        <v>66210522.270000003</v>
      </c>
      <c r="H35" s="29"/>
      <c r="I35" s="25">
        <f>70*E32</f>
        <v>1977500</v>
      </c>
    </row>
    <row r="36" spans="1:9" ht="21.75" customHeight="1">
      <c r="A36" s="391"/>
      <c r="B36" s="387"/>
      <c r="C36" s="386"/>
      <c r="D36" s="392"/>
      <c r="E36" s="388"/>
      <c r="F36" s="393"/>
      <c r="G36" s="390"/>
      <c r="H36" s="29"/>
      <c r="I36" s="25">
        <f>+I35/80</f>
        <v>24718.75</v>
      </c>
    </row>
    <row r="37" spans="1:9" ht="21.75" customHeight="1">
      <c r="A37" s="384">
        <v>5</v>
      </c>
      <c r="B37" s="385" t="s">
        <v>148</v>
      </c>
      <c r="C37" s="386"/>
      <c r="D37" s="387"/>
      <c r="E37" s="290"/>
      <c r="F37" s="291" t="str">
        <f>IF(E37=0," ",(ROUND(C37*E37,2)))</f>
        <v xml:space="preserve"> </v>
      </c>
      <c r="G37" s="295"/>
      <c r="H37" s="29"/>
    </row>
    <row r="38" spans="1:9" ht="21.75" customHeight="1">
      <c r="A38" s="391">
        <f>A37+0.1</f>
        <v>5.0999999999999996</v>
      </c>
      <c r="B38" s="387" t="s">
        <v>229</v>
      </c>
      <c r="C38" s="386">
        <f>+C32</f>
        <v>583.84</v>
      </c>
      <c r="D38" s="392" t="s">
        <v>131</v>
      </c>
      <c r="E38" s="388">
        <v>6249.75</v>
      </c>
      <c r="F38" s="393">
        <f>IF(E38=0," ",(ROUND(C38*E38,2)))</f>
        <v>3648854.04</v>
      </c>
      <c r="G38" s="295"/>
      <c r="H38" s="29"/>
    </row>
    <row r="39" spans="1:9" ht="21.75" customHeight="1">
      <c r="A39" s="391">
        <f t="shared" ref="A39:A41" si="4">A38+0.1</f>
        <v>5.2</v>
      </c>
      <c r="B39" s="387" t="s">
        <v>230</v>
      </c>
      <c r="C39" s="386">
        <f>+C33</f>
        <v>366.26</v>
      </c>
      <c r="D39" s="392" t="s">
        <v>131</v>
      </c>
      <c r="E39" s="465">
        <v>2545.1</v>
      </c>
      <c r="F39" s="393">
        <f t="shared" ref="F39" si="5">IF(E39=0," ",(ROUND(C39*E39,2)))</f>
        <v>932168.33</v>
      </c>
      <c r="G39" s="295"/>
      <c r="H39" s="29"/>
      <c r="I39" s="25">
        <f>84*E38</f>
        <v>524979</v>
      </c>
    </row>
    <row r="40" spans="1:9" ht="21.75" customHeight="1">
      <c r="A40" s="391">
        <f t="shared" si="4"/>
        <v>5.3</v>
      </c>
      <c r="B40" s="387" t="s">
        <v>231</v>
      </c>
      <c r="C40" s="386">
        <f>+C34</f>
        <v>283.89999999999998</v>
      </c>
      <c r="D40" s="392" t="s">
        <v>131</v>
      </c>
      <c r="E40" s="465">
        <v>2037.22</v>
      </c>
      <c r="F40" s="393">
        <f t="shared" ref="F40" si="6">IF(E40=0," ",(ROUND(C40*E40,2)))</f>
        <v>578366.76</v>
      </c>
      <c r="G40" s="295"/>
      <c r="H40" s="29"/>
    </row>
    <row r="41" spans="1:9" ht="21.75" customHeight="1" thickBot="1">
      <c r="A41" s="411">
        <f t="shared" si="4"/>
        <v>5.4</v>
      </c>
      <c r="B41" s="412" t="s">
        <v>147</v>
      </c>
      <c r="C41" s="413">
        <f t="shared" ref="C41" si="7">+C35</f>
        <v>5990.04</v>
      </c>
      <c r="D41" s="414" t="s">
        <v>131</v>
      </c>
      <c r="E41" s="435">
        <v>51.31</v>
      </c>
      <c r="F41" s="437">
        <f>IF(E41=0," ",(ROUND(C41*E41,2)))</f>
        <v>307348.95</v>
      </c>
      <c r="G41" s="462">
        <f>SUM(F38:F41)</f>
        <v>5466738.0800000001</v>
      </c>
      <c r="H41" s="29"/>
      <c r="I41" s="25">
        <f>+I39/80</f>
        <v>6562.24</v>
      </c>
    </row>
    <row r="42" spans="1:9" ht="21.75" customHeight="1">
      <c r="A42" s="361"/>
      <c r="B42" s="362"/>
      <c r="C42" s="296"/>
      <c r="D42" s="297"/>
      <c r="E42" s="363"/>
      <c r="F42" s="337"/>
      <c r="G42" s="298"/>
      <c r="H42" s="29"/>
    </row>
    <row r="43" spans="1:9" ht="65.25" customHeight="1">
      <c r="A43" s="384">
        <v>6</v>
      </c>
      <c r="B43" s="385" t="s">
        <v>232</v>
      </c>
      <c r="C43" s="386">
        <v>650</v>
      </c>
      <c r="D43" s="407" t="s">
        <v>131</v>
      </c>
      <c r="E43" s="408"/>
      <c r="F43" s="409"/>
      <c r="G43" s="410"/>
      <c r="H43" s="29">
        <f>3.6+1.2</f>
        <v>4.8</v>
      </c>
      <c r="I43" s="25">
        <f>70*E38</f>
        <v>437482.5</v>
      </c>
    </row>
    <row r="44" spans="1:9" ht="25.5" customHeight="1">
      <c r="A44" s="391">
        <f>+A43+0.1</f>
        <v>6.1</v>
      </c>
      <c r="B44" s="387" t="s">
        <v>150</v>
      </c>
      <c r="C44" s="386">
        <f>C43*3.5*0.05</f>
        <v>113.75</v>
      </c>
      <c r="D44" s="392" t="s">
        <v>113</v>
      </c>
      <c r="E44" s="388">
        <v>5896.31</v>
      </c>
      <c r="F44" s="393">
        <f>+E44*C44</f>
        <v>670705.26</v>
      </c>
      <c r="G44" s="410"/>
      <c r="H44" s="29"/>
      <c r="I44" s="25">
        <f>+I43/80</f>
        <v>5468.53</v>
      </c>
    </row>
    <row r="45" spans="1:9" ht="21.75" customHeight="1">
      <c r="A45" s="391">
        <f t="shared" ref="A45:A51" si="8">+A44+0.1</f>
        <v>6.2</v>
      </c>
      <c r="B45" s="387" t="s">
        <v>151</v>
      </c>
      <c r="C45" s="386">
        <f>C43*3.5*0.3</f>
        <v>682.5</v>
      </c>
      <c r="D45" s="392" t="s">
        <v>113</v>
      </c>
      <c r="E45" s="388">
        <f>+'ANALISIS DE COSTOS'!F111</f>
        <v>17718.77</v>
      </c>
      <c r="F45" s="393">
        <f t="shared" ref="F45:F51" si="9">+C45*E45</f>
        <v>12093060.529999999</v>
      </c>
      <c r="G45" s="410"/>
      <c r="H45" s="29"/>
    </row>
    <row r="46" spans="1:9" ht="25.5" customHeight="1">
      <c r="A46" s="391">
        <f t="shared" si="8"/>
        <v>6.3</v>
      </c>
      <c r="B46" s="387" t="s">
        <v>152</v>
      </c>
      <c r="C46" s="386">
        <f>+(C43*2*0.25)*2</f>
        <v>650</v>
      </c>
      <c r="D46" s="392" t="s">
        <v>113</v>
      </c>
      <c r="E46" s="388">
        <f>+'ANALISIS DE COSTOS'!F123</f>
        <v>28293.57</v>
      </c>
      <c r="F46" s="393">
        <f t="shared" si="9"/>
        <v>18390820.5</v>
      </c>
      <c r="G46" s="410"/>
      <c r="H46" s="29"/>
    </row>
    <row r="47" spans="1:9" ht="25.5" customHeight="1">
      <c r="A47" s="415">
        <f t="shared" si="8"/>
        <v>6.4</v>
      </c>
      <c r="B47" s="416" t="s">
        <v>153</v>
      </c>
      <c r="C47" s="417">
        <f>+C43*3*0.2</f>
        <v>390</v>
      </c>
      <c r="D47" s="418" t="s">
        <v>113</v>
      </c>
      <c r="E47" s="436">
        <f>+'ANALISIS DE COSTOS'!F135</f>
        <v>23959.119999999999</v>
      </c>
      <c r="F47" s="438">
        <f t="shared" si="9"/>
        <v>9344056.8000000007</v>
      </c>
      <c r="G47" s="439"/>
      <c r="H47" s="29"/>
    </row>
    <row r="48" spans="1:9" ht="25.5" customHeight="1">
      <c r="A48" s="391">
        <f t="shared" si="8"/>
        <v>6.5</v>
      </c>
      <c r="B48" s="387" t="s">
        <v>154</v>
      </c>
      <c r="C48" s="386">
        <f>+C43*2*2</f>
        <v>2600</v>
      </c>
      <c r="D48" s="392" t="s">
        <v>155</v>
      </c>
      <c r="E48" s="388">
        <v>405.1</v>
      </c>
      <c r="F48" s="393">
        <f t="shared" si="9"/>
        <v>1053260</v>
      </c>
      <c r="G48" s="410"/>
      <c r="H48" s="29"/>
    </row>
    <row r="49" spans="1:10" ht="25.5" customHeight="1">
      <c r="A49" s="391">
        <f t="shared" si="8"/>
        <v>6.6</v>
      </c>
      <c r="B49" s="387" t="s">
        <v>156</v>
      </c>
      <c r="C49" s="386">
        <f>+C43*2</f>
        <v>1300</v>
      </c>
      <c r="D49" s="392" t="s">
        <v>131</v>
      </c>
      <c r="E49" s="388">
        <v>112.44</v>
      </c>
      <c r="F49" s="393">
        <f t="shared" si="9"/>
        <v>146172</v>
      </c>
      <c r="G49" s="410"/>
      <c r="H49" s="29"/>
    </row>
    <row r="50" spans="1:10" ht="25.5" customHeight="1">
      <c r="A50" s="391">
        <f t="shared" si="8"/>
        <v>6.7</v>
      </c>
      <c r="B50" s="387" t="s">
        <v>157</v>
      </c>
      <c r="C50" s="386">
        <f>+C43*(2.5)</f>
        <v>1625</v>
      </c>
      <c r="D50" s="392" t="s">
        <v>155</v>
      </c>
      <c r="E50" s="388">
        <v>506.22</v>
      </c>
      <c r="F50" s="393">
        <f t="shared" si="9"/>
        <v>822607.5</v>
      </c>
      <c r="G50" s="410"/>
      <c r="H50" s="29"/>
    </row>
    <row r="51" spans="1:10" ht="25.5" customHeight="1">
      <c r="A51" s="391">
        <f t="shared" si="8"/>
        <v>6.8</v>
      </c>
      <c r="B51" s="387" t="s">
        <v>158</v>
      </c>
      <c r="C51" s="386">
        <f>+C43*3</f>
        <v>1950</v>
      </c>
      <c r="D51" s="392" t="s">
        <v>155</v>
      </c>
      <c r="E51" s="388">
        <f>+E50</f>
        <v>506.22</v>
      </c>
      <c r="F51" s="393">
        <f t="shared" si="9"/>
        <v>987129</v>
      </c>
      <c r="G51" s="410">
        <f>SUM(F44:F51)</f>
        <v>43507811.590000004</v>
      </c>
      <c r="H51" s="29"/>
    </row>
    <row r="52" spans="1:10" ht="19.5" customHeight="1">
      <c r="A52" s="575"/>
      <c r="B52" s="372"/>
      <c r="C52" s="338"/>
      <c r="D52" s="373"/>
      <c r="E52" s="339"/>
      <c r="F52" s="338"/>
      <c r="G52" s="375"/>
      <c r="H52" s="29"/>
    </row>
    <row r="53" spans="1:10" ht="77.25" customHeight="1">
      <c r="A53" s="384">
        <v>7</v>
      </c>
      <c r="B53" s="385" t="s">
        <v>159</v>
      </c>
      <c r="C53" s="386">
        <v>1000</v>
      </c>
      <c r="D53" s="407" t="s">
        <v>131</v>
      </c>
      <c r="E53" s="408"/>
      <c r="F53" s="409"/>
      <c r="G53" s="410"/>
      <c r="H53" s="29">
        <f>SUM(C65:C72)</f>
        <v>45</v>
      </c>
    </row>
    <row r="54" spans="1:10" ht="25.5" customHeight="1">
      <c r="A54" s="391">
        <f>+A53+0.1</f>
        <v>7.1</v>
      </c>
      <c r="B54" s="387" t="s">
        <v>150</v>
      </c>
      <c r="C54" s="386">
        <f>C53*5.25*0.05</f>
        <v>262.5</v>
      </c>
      <c r="D54" s="392" t="s">
        <v>113</v>
      </c>
      <c r="E54" s="388">
        <v>5896.31</v>
      </c>
      <c r="F54" s="393">
        <f>+E54*C54</f>
        <v>1547781.38</v>
      </c>
      <c r="G54" s="375"/>
      <c r="H54" s="29"/>
    </row>
    <row r="55" spans="1:10" ht="31.5" customHeight="1">
      <c r="A55" s="391">
        <f t="shared" ref="A55:A61" si="10">+A54+0.1</f>
        <v>7.2</v>
      </c>
      <c r="B55" s="387" t="s">
        <v>151</v>
      </c>
      <c r="C55" s="386">
        <f>C53*5.25*0.3</f>
        <v>1575</v>
      </c>
      <c r="D55" s="392" t="s">
        <v>113</v>
      </c>
      <c r="E55" s="388">
        <f>+E45</f>
        <v>17718.77</v>
      </c>
      <c r="F55" s="393">
        <f t="shared" ref="F55:F61" si="11">+C55*E55</f>
        <v>27907062.75</v>
      </c>
      <c r="G55" s="410"/>
      <c r="H55" s="29"/>
    </row>
    <row r="56" spans="1:10" ht="25.5" customHeight="1">
      <c r="A56" s="391">
        <f t="shared" si="10"/>
        <v>7.3</v>
      </c>
      <c r="B56" s="387" t="s">
        <v>152</v>
      </c>
      <c r="C56" s="386">
        <f>+(C53*2*0.25)*3</f>
        <v>1500</v>
      </c>
      <c r="D56" s="392" t="s">
        <v>113</v>
      </c>
      <c r="E56" s="388">
        <f t="shared" ref="E56:E61" si="12">+E46</f>
        <v>28293.57</v>
      </c>
      <c r="F56" s="393">
        <f t="shared" si="11"/>
        <v>42440355</v>
      </c>
      <c r="G56" s="410"/>
      <c r="H56" s="29"/>
    </row>
    <row r="57" spans="1:10" ht="25.5" customHeight="1">
      <c r="A57" s="415">
        <f t="shared" si="10"/>
        <v>7.4</v>
      </c>
      <c r="B57" s="416" t="s">
        <v>153</v>
      </c>
      <c r="C57" s="417">
        <f>+C53*4.75*0.2</f>
        <v>950</v>
      </c>
      <c r="D57" s="418" t="s">
        <v>113</v>
      </c>
      <c r="E57" s="388">
        <f t="shared" si="12"/>
        <v>23959.119999999999</v>
      </c>
      <c r="F57" s="438">
        <f t="shared" si="11"/>
        <v>22761164</v>
      </c>
      <c r="G57" s="439"/>
      <c r="I57" s="25">
        <f>0.55+2.13+1.1</f>
        <v>3.78</v>
      </c>
      <c r="J57" s="25">
        <f>0.55+2.13+0.55</f>
        <v>3.23</v>
      </c>
    </row>
    <row r="58" spans="1:10" ht="25.5" customHeight="1">
      <c r="A58" s="391">
        <f t="shared" si="10"/>
        <v>7.5</v>
      </c>
      <c r="B58" s="387" t="s">
        <v>154</v>
      </c>
      <c r="C58" s="386">
        <f>+C53*2*4</f>
        <v>8000</v>
      </c>
      <c r="D58" s="392" t="s">
        <v>155</v>
      </c>
      <c r="E58" s="388">
        <f t="shared" si="12"/>
        <v>405.1</v>
      </c>
      <c r="F58" s="393">
        <f t="shared" si="11"/>
        <v>3240800</v>
      </c>
      <c r="G58" s="410"/>
      <c r="I58" s="25">
        <f>0.55+2.13+0.65</f>
        <v>3.33</v>
      </c>
    </row>
    <row r="59" spans="1:10" ht="25.5" customHeight="1">
      <c r="A59" s="391">
        <f t="shared" si="10"/>
        <v>7.6</v>
      </c>
      <c r="B59" s="387" t="s">
        <v>156</v>
      </c>
      <c r="C59" s="386">
        <f>+C53*4</f>
        <v>4000</v>
      </c>
      <c r="D59" s="392" t="s">
        <v>131</v>
      </c>
      <c r="E59" s="388">
        <f t="shared" si="12"/>
        <v>112.44</v>
      </c>
      <c r="F59" s="393">
        <f t="shared" si="11"/>
        <v>449760</v>
      </c>
      <c r="G59" s="410"/>
      <c r="I59" s="25">
        <f>0.55+2.13+0.9</f>
        <v>3.58</v>
      </c>
    </row>
    <row r="60" spans="1:10" ht="25.5" customHeight="1">
      <c r="A60" s="391">
        <f t="shared" si="10"/>
        <v>7.7</v>
      </c>
      <c r="B60" s="387" t="s">
        <v>157</v>
      </c>
      <c r="C60" s="386">
        <f>+C53*(4)</f>
        <v>4000</v>
      </c>
      <c r="D60" s="392" t="s">
        <v>155</v>
      </c>
      <c r="E60" s="388">
        <f t="shared" si="12"/>
        <v>506.22</v>
      </c>
      <c r="F60" s="393">
        <f t="shared" si="11"/>
        <v>2024880</v>
      </c>
      <c r="G60" s="410"/>
      <c r="I60" s="25">
        <f>0.55+2.13+0.64</f>
        <v>3.32</v>
      </c>
    </row>
    <row r="61" spans="1:10" ht="25.5" customHeight="1">
      <c r="A61" s="391">
        <f t="shared" si="10"/>
        <v>7.8</v>
      </c>
      <c r="B61" s="387" t="s">
        <v>158</v>
      </c>
      <c r="C61" s="386">
        <f>+C53*4.75</f>
        <v>4750</v>
      </c>
      <c r="D61" s="392" t="s">
        <v>155</v>
      </c>
      <c r="E61" s="388">
        <f t="shared" si="12"/>
        <v>506.22</v>
      </c>
      <c r="F61" s="393">
        <f t="shared" si="11"/>
        <v>2404545</v>
      </c>
      <c r="G61" s="410">
        <f>SUM(F54:F61)</f>
        <v>102776348.13</v>
      </c>
      <c r="I61" s="25">
        <f>0.55+1.83+1.11</f>
        <v>3.49</v>
      </c>
    </row>
    <row r="62" spans="1:10" ht="25.5" customHeight="1">
      <c r="A62" s="391"/>
      <c r="B62" s="387"/>
      <c r="C62" s="386"/>
      <c r="D62" s="392"/>
      <c r="E62" s="290"/>
      <c r="F62" s="431"/>
      <c r="G62" s="375"/>
    </row>
    <row r="63" spans="1:10" ht="25.5" customHeight="1">
      <c r="A63" s="384">
        <v>8</v>
      </c>
      <c r="B63" s="385" t="s">
        <v>160</v>
      </c>
      <c r="C63" s="386"/>
      <c r="D63" s="392"/>
      <c r="E63" s="388"/>
      <c r="F63" s="389" t="str">
        <f t="shared" si="1"/>
        <v xml:space="preserve"> </v>
      </c>
      <c r="G63" s="295"/>
      <c r="I63" s="25">
        <f>0.55+1.83+1.15</f>
        <v>3.53</v>
      </c>
    </row>
    <row r="64" spans="1:10" ht="25.5" customHeight="1">
      <c r="A64" s="440">
        <f>+A63+0.1</f>
        <v>8.1</v>
      </c>
      <c r="B64" s="385" t="s">
        <v>233</v>
      </c>
      <c r="C64" s="386"/>
      <c r="D64" s="392"/>
      <c r="E64" s="388"/>
      <c r="F64" s="389"/>
      <c r="G64" s="295"/>
      <c r="I64" s="25">
        <f>0.55+1.83+0.65</f>
        <v>3.03</v>
      </c>
    </row>
    <row r="65" spans="1:9" ht="25.5" customHeight="1">
      <c r="A65" s="441" t="s">
        <v>162</v>
      </c>
      <c r="B65" s="387" t="s">
        <v>235</v>
      </c>
      <c r="C65" s="386">
        <v>6</v>
      </c>
      <c r="D65" s="392" t="s">
        <v>121</v>
      </c>
      <c r="E65" s="388">
        <f>+'ANALISIS DE COSTOS'!F427</f>
        <v>159502.45000000001</v>
      </c>
      <c r="F65" s="393">
        <f>IF(E65=0," ",(ROUND(C65*E65,2)))</f>
        <v>957014.7</v>
      </c>
      <c r="G65" s="295"/>
    </row>
    <row r="66" spans="1:9" ht="25.5" customHeight="1">
      <c r="A66" s="441" t="s">
        <v>164</v>
      </c>
      <c r="B66" s="387" t="s">
        <v>237</v>
      </c>
      <c r="C66" s="386">
        <v>1</v>
      </c>
      <c r="D66" s="392" t="s">
        <v>121</v>
      </c>
      <c r="E66" s="388">
        <f>+'ANALISIS DE COSTOS'!F450</f>
        <v>169362.08</v>
      </c>
      <c r="F66" s="393">
        <f t="shared" ref="F66" si="13">IF(E66=0," ",(ROUND(C66*E66,2)))</f>
        <v>169362.08</v>
      </c>
      <c r="G66" s="295"/>
    </row>
    <row r="67" spans="1:9" ht="25.5" customHeight="1">
      <c r="A67" s="441" t="s">
        <v>261</v>
      </c>
      <c r="B67" s="387" t="s">
        <v>262</v>
      </c>
      <c r="C67" s="386">
        <v>1</v>
      </c>
      <c r="D67" s="392" t="s">
        <v>121</v>
      </c>
      <c r="E67" s="388">
        <f>+'ANALISIS DE COSTOS'!F473</f>
        <v>177518.37</v>
      </c>
      <c r="F67" s="393">
        <f t="shared" ref="F67" si="14">IF(E67=0," ",(ROUND(C67*E67,2)))</f>
        <v>177518.37</v>
      </c>
      <c r="G67" s="390"/>
    </row>
    <row r="68" spans="1:9" ht="39" customHeight="1">
      <c r="A68" s="441" t="s">
        <v>263</v>
      </c>
      <c r="B68" s="387" t="s">
        <v>239</v>
      </c>
      <c r="C68" s="386">
        <v>16</v>
      </c>
      <c r="D68" s="392" t="s">
        <v>121</v>
      </c>
      <c r="E68" s="388">
        <f>+'ANALISIS DE COSTOS'!F496</f>
        <v>173461.37</v>
      </c>
      <c r="F68" s="393">
        <f t="shared" ref="F68" si="15">IF(E68=0," ",(ROUND(C68*E68,2)))</f>
        <v>2775381.92</v>
      </c>
      <c r="G68" s="390"/>
      <c r="H68" s="25">
        <f>SUM(C65:C68)</f>
        <v>24</v>
      </c>
    </row>
    <row r="69" spans="1:9" ht="25.5" customHeight="1">
      <c r="A69" s="441" t="s">
        <v>264</v>
      </c>
      <c r="B69" s="387" t="s">
        <v>265</v>
      </c>
      <c r="C69" s="386">
        <v>1</v>
      </c>
      <c r="D69" s="392" t="s">
        <v>121</v>
      </c>
      <c r="E69" s="388">
        <f>+'ANALISIS DE COSTOS'!F519</f>
        <v>181349.81</v>
      </c>
      <c r="F69" s="393">
        <f t="shared" ref="F69" si="16">IF(E69=0," ",(ROUND(C69*E69,2)))</f>
        <v>181349.81</v>
      </c>
      <c r="G69" s="390"/>
      <c r="H69" s="25">
        <f>SUM(C65:C69)</f>
        <v>25</v>
      </c>
    </row>
    <row r="70" spans="1:9" ht="37.5" customHeight="1">
      <c r="A70" s="441" t="s">
        <v>266</v>
      </c>
      <c r="B70" s="387" t="s">
        <v>241</v>
      </c>
      <c r="C70" s="386">
        <v>15</v>
      </c>
      <c r="D70" s="392" t="s">
        <v>121</v>
      </c>
      <c r="E70" s="388">
        <f>+'ANALISIS DE COSTOS'!F542</f>
        <v>183852.46</v>
      </c>
      <c r="F70" s="393">
        <f t="shared" ref="F70" si="17">IF(E70=0," ",(ROUND(C70*E70,2)))</f>
        <v>2757786.9</v>
      </c>
      <c r="G70" s="390"/>
    </row>
    <row r="71" spans="1:9" ht="25.5" customHeight="1" thickBot="1">
      <c r="A71" s="467" t="s">
        <v>267</v>
      </c>
      <c r="B71" s="412" t="s">
        <v>243</v>
      </c>
      <c r="C71" s="413">
        <v>1</v>
      </c>
      <c r="D71" s="414" t="s">
        <v>121</v>
      </c>
      <c r="E71" s="435">
        <f>+'ANALISIS DE COSTOS'!F565</f>
        <v>199894.37</v>
      </c>
      <c r="F71" s="437">
        <f t="shared" ref="F71" si="18">IF(E71=0," ",(ROUND(C71*E71,2)))</f>
        <v>199894.37</v>
      </c>
      <c r="G71" s="462"/>
    </row>
    <row r="72" spans="1:9" ht="25.5" customHeight="1">
      <c r="A72" s="466" t="s">
        <v>268</v>
      </c>
      <c r="B72" s="416" t="s">
        <v>245</v>
      </c>
      <c r="C72" s="417">
        <v>4</v>
      </c>
      <c r="D72" s="418" t="s">
        <v>121</v>
      </c>
      <c r="E72" s="436">
        <f>+'ANALISIS DE COSTOS'!F588</f>
        <v>238939.64</v>
      </c>
      <c r="F72" s="438">
        <f t="shared" ref="F72" si="19">IF(E72=0," ",(ROUND(C72*E72,2)))</f>
        <v>955758.56</v>
      </c>
      <c r="G72" s="298"/>
      <c r="H72" s="25">
        <f>SUM(C65:C72)</f>
        <v>45</v>
      </c>
      <c r="I72" s="25">
        <f>+H69+H72</f>
        <v>70</v>
      </c>
    </row>
    <row r="73" spans="1:9" ht="25.5" customHeight="1">
      <c r="A73" s="440">
        <f>+A64+0.1</f>
        <v>8.1999999999999993</v>
      </c>
      <c r="B73" s="385" t="s">
        <v>161</v>
      </c>
      <c r="C73" s="386"/>
      <c r="D73" s="392"/>
      <c r="E73" s="388"/>
      <c r="F73" s="389"/>
      <c r="G73" s="390"/>
    </row>
    <row r="74" spans="1:9" ht="25.5" customHeight="1">
      <c r="A74" s="442" t="s">
        <v>246</v>
      </c>
      <c r="B74" s="387" t="s">
        <v>163</v>
      </c>
      <c r="C74" s="443">
        <v>106</v>
      </c>
      <c r="D74" s="392" t="s">
        <v>121</v>
      </c>
      <c r="E74" s="388">
        <f>122180.97*1.1</f>
        <v>134399.07</v>
      </c>
      <c r="F74" s="393">
        <f>IF(E74=0," ",(ROUND(C74*E74,2)))</f>
        <v>14246301.42</v>
      </c>
      <c r="G74" s="390"/>
    </row>
    <row r="75" spans="1:9" ht="25.5" customHeight="1">
      <c r="A75" s="442" t="s">
        <v>247</v>
      </c>
      <c r="B75" s="387" t="s">
        <v>165</v>
      </c>
      <c r="C75" s="443">
        <v>106</v>
      </c>
      <c r="D75" s="392" t="s">
        <v>121</v>
      </c>
      <c r="E75" s="388">
        <f>149161.04*1.1</f>
        <v>164077.14000000001</v>
      </c>
      <c r="F75" s="393">
        <f>IF(E75=0," ",(ROUND(C75*E75,2)))</f>
        <v>17392176.84</v>
      </c>
      <c r="G75" s="390"/>
      <c r="H75" s="25">
        <f>SUM(F23:F119)</f>
        <v>465615154.87</v>
      </c>
    </row>
    <row r="76" spans="1:9" ht="25.5" customHeight="1">
      <c r="A76" s="440">
        <f>+A73+0.1</f>
        <v>8.3000000000000007</v>
      </c>
      <c r="B76" s="385" t="s">
        <v>248</v>
      </c>
      <c r="C76" s="386"/>
      <c r="D76" s="392"/>
      <c r="E76" s="388"/>
      <c r="F76" s="389"/>
      <c r="G76" s="390"/>
    </row>
    <row r="77" spans="1:9" ht="25.5" customHeight="1">
      <c r="A77" s="444" t="s">
        <v>249</v>
      </c>
      <c r="B77" s="385" t="s">
        <v>168</v>
      </c>
      <c r="C77" s="386"/>
      <c r="D77" s="392"/>
      <c r="E77" s="388"/>
      <c r="F77" s="389"/>
      <c r="G77" s="390"/>
    </row>
    <row r="78" spans="1:9" ht="25.5" customHeight="1">
      <c r="A78" s="442" t="s">
        <v>250</v>
      </c>
      <c r="B78" s="387" t="s">
        <v>140</v>
      </c>
      <c r="C78" s="386">
        <f>+(0.6+0.25+1.5+1.82+1.5+0.25+0.6+0.6)*(0.6+0.25+1.25+0.25+0.6)*(1.81+0.81+1.05+1)</f>
        <v>98.09</v>
      </c>
      <c r="D78" s="392" t="s">
        <v>113</v>
      </c>
      <c r="E78" s="388">
        <f>+E24</f>
        <v>262.5</v>
      </c>
      <c r="F78" s="393">
        <f t="shared" ref="F78" si="20">IF(E78=0," ",(ROUND(C78*E78,2)))</f>
        <v>25748.63</v>
      </c>
      <c r="G78" s="390"/>
    </row>
    <row r="79" spans="1:9" ht="25.5" customHeight="1">
      <c r="A79" s="442" t="s">
        <v>251</v>
      </c>
      <c r="B79" s="387" t="s">
        <v>171</v>
      </c>
      <c r="C79" s="386">
        <f>+((0.6+0.25+1.5+1.82+1.5+0.25+0.6+0.6)*(0.6+0.25+1.25+0.25+0.6)*(1.81+0.81+1.05+1))-((((0.6+0.25+1.5+1.82+1.5+0.6)+(1.82+0.25+0.25)/2)*(1.81+0.81+1.05+1))*(0.25+1.25+0.25))</f>
        <v>37.369999999999997</v>
      </c>
      <c r="D79" s="392" t="s">
        <v>113</v>
      </c>
      <c r="E79" s="388">
        <f>+E26</f>
        <v>942.57</v>
      </c>
      <c r="F79" s="393">
        <f>IF(E79=0," ",(ROUND(C79*E79,2)))</f>
        <v>35223.839999999997</v>
      </c>
      <c r="G79" s="390"/>
    </row>
    <row r="80" spans="1:9" ht="25.5" customHeight="1">
      <c r="A80" s="442" t="s">
        <v>252</v>
      </c>
      <c r="B80" s="387" t="s">
        <v>144</v>
      </c>
      <c r="C80" s="386">
        <f>+C79</f>
        <v>37.369999999999997</v>
      </c>
      <c r="D80" s="392" t="s">
        <v>113</v>
      </c>
      <c r="E80" s="388">
        <f>+E28</f>
        <v>190.27</v>
      </c>
      <c r="F80" s="393">
        <f t="shared" ref="F80" si="21">IF(E80=0," ",(ROUND(C80*E80,2)))</f>
        <v>7110.39</v>
      </c>
      <c r="G80" s="390"/>
    </row>
    <row r="81" spans="1:8" ht="23.25" customHeight="1">
      <c r="A81" s="445" t="s">
        <v>253</v>
      </c>
      <c r="B81" s="446" t="s">
        <v>174</v>
      </c>
      <c r="C81" s="447"/>
      <c r="D81" s="448"/>
      <c r="E81" s="449"/>
      <c r="F81" s="438"/>
      <c r="G81" s="450"/>
    </row>
    <row r="82" spans="1:8" ht="21" customHeight="1">
      <c r="A82" s="451" t="s">
        <v>254</v>
      </c>
      <c r="B82" s="452" t="s">
        <v>150</v>
      </c>
      <c r="C82" s="386">
        <f>+((((0.6+0.25+1.5+1.82+1.5+0.6)+(1.82+0.25+0.25)/2)*(0.1))*(0.25+1.25+0.25))</f>
        <v>1.3</v>
      </c>
      <c r="D82" s="453" t="s">
        <v>113</v>
      </c>
      <c r="E82" s="393">
        <v>5896.31</v>
      </c>
      <c r="F82" s="393">
        <f t="shared" ref="F82:F86" si="22">+E82*C82</f>
        <v>7665.2</v>
      </c>
      <c r="G82" s="454"/>
    </row>
    <row r="83" spans="1:8" ht="19.5" customHeight="1">
      <c r="A83" s="451" t="s">
        <v>255</v>
      </c>
      <c r="B83" s="452" t="s">
        <v>177</v>
      </c>
      <c r="C83" s="386">
        <f>+((((0.6+0.25+1.5+1.82+1.5+0.6)+(1.82+0.25+0.25)/2)*(0.25))*(0.25+1.25+0.25))</f>
        <v>3.25</v>
      </c>
      <c r="D83" s="453" t="s">
        <v>113</v>
      </c>
      <c r="E83" s="393">
        <f>+'ANALISIS DE COSTOS'!F183</f>
        <v>21662.97</v>
      </c>
      <c r="F83" s="393">
        <f t="shared" si="22"/>
        <v>70404.649999999994</v>
      </c>
      <c r="G83" s="454"/>
    </row>
    <row r="84" spans="1:8" ht="19.5" customHeight="1">
      <c r="A84" s="451" t="s">
        <v>256</v>
      </c>
      <c r="B84" s="455" t="s">
        <v>179</v>
      </c>
      <c r="C84" s="386">
        <f>+(((1.84*1.5)/2)*0.25+((1.84*1.5)/2)*0.25)+(1.75*1.5*2)+(1*1.5)+(1.82*2.65)+(0.8*(0.6+0.25+1.5+1.82+1.5+0.25+0.6))</f>
        <v>17.48</v>
      </c>
      <c r="D84" s="456" t="s">
        <v>113</v>
      </c>
      <c r="E84" s="438">
        <f>+'ANALISIS DE COSTOS'!F195</f>
        <v>55884.27</v>
      </c>
      <c r="F84" s="393">
        <f t="shared" si="22"/>
        <v>976857.04</v>
      </c>
      <c r="G84" s="457"/>
    </row>
    <row r="85" spans="1:8" ht="19.5" customHeight="1">
      <c r="A85" s="451" t="s">
        <v>257</v>
      </c>
      <c r="B85" s="455" t="s">
        <v>181</v>
      </c>
      <c r="C85" s="386">
        <f>+(0.8*(1.82+0.25+0.25)*0.25)</f>
        <v>0.46</v>
      </c>
      <c r="D85" s="456" t="s">
        <v>113</v>
      </c>
      <c r="E85" s="438">
        <f>+'ANALISIS DE COSTOS'!F207</f>
        <v>27060.07</v>
      </c>
      <c r="F85" s="393">
        <f t="shared" si="22"/>
        <v>12447.63</v>
      </c>
      <c r="G85" s="450"/>
    </row>
    <row r="86" spans="1:8" ht="19.5" customHeight="1">
      <c r="A86" s="451" t="s">
        <v>258</v>
      </c>
      <c r="B86" s="455" t="s">
        <v>183</v>
      </c>
      <c r="C86" s="386">
        <f>+(0.4*(0.6+0.25+1.5+1.82+1.5+0.25+0.6)*0.25)</f>
        <v>0.65</v>
      </c>
      <c r="D86" s="456" t="s">
        <v>113</v>
      </c>
      <c r="E86" s="438">
        <f>+'ANALISIS DE COSTOS'!F219</f>
        <v>34369.870000000003</v>
      </c>
      <c r="F86" s="393">
        <f t="shared" si="22"/>
        <v>22340.42</v>
      </c>
      <c r="G86" s="450"/>
    </row>
    <row r="87" spans="1:8" ht="19.5" customHeight="1">
      <c r="A87" s="458">
        <f>+A76+0.1</f>
        <v>8.4</v>
      </c>
      <c r="B87" s="459" t="s">
        <v>166</v>
      </c>
      <c r="C87" s="417"/>
      <c r="D87" s="418"/>
      <c r="E87" s="436"/>
      <c r="F87" s="460"/>
      <c r="G87" s="461"/>
    </row>
    <row r="88" spans="1:8" ht="19.5" customHeight="1">
      <c r="A88" s="444" t="s">
        <v>269</v>
      </c>
      <c r="B88" s="385" t="s">
        <v>168</v>
      </c>
      <c r="C88" s="386"/>
      <c r="D88" s="392"/>
      <c r="E88" s="388"/>
      <c r="F88" s="389"/>
      <c r="G88" s="390"/>
    </row>
    <row r="89" spans="1:8" ht="19.5" customHeight="1">
      <c r="A89" s="442" t="s">
        <v>270</v>
      </c>
      <c r="B89" s="387" t="s">
        <v>140</v>
      </c>
      <c r="C89" s="386">
        <f>+(0.6+0.25+1.5+2.12+1.5+0.25+0.6+0.6)*(0.6+0.25+1.25+0.25+0.6)*(1.81+0.81+1.05+1)</f>
        <v>102.22</v>
      </c>
      <c r="D89" s="392" t="s">
        <v>113</v>
      </c>
      <c r="E89" s="388">
        <f>+E78</f>
        <v>262.5</v>
      </c>
      <c r="F89" s="393">
        <f t="shared" ref="F89" si="23">IF(E89=0," ",(ROUND(C89*E89,2)))</f>
        <v>26832.75</v>
      </c>
      <c r="G89" s="390"/>
    </row>
    <row r="90" spans="1:8" ht="21" customHeight="1">
      <c r="A90" s="442" t="s">
        <v>271</v>
      </c>
      <c r="B90" s="387" t="s">
        <v>171</v>
      </c>
      <c r="C90" s="386">
        <f>+((0.6+0.25+1.5+2.12+1.5+0.25+0.6+0.6)*(0.6+0.25+1.25+0.25+0.6)*(1.81+0.81+1.05+1))-((((0.6+0.25+1.5+2.12+1.5+0.6)+(2.12+0.25+0.25)/2)*(1.81+0.81+1.05+1))*(0.25+1.25+0.25))</f>
        <v>37.82</v>
      </c>
      <c r="D90" s="392" t="s">
        <v>113</v>
      </c>
      <c r="E90" s="388">
        <f t="shared" ref="E90:E97" si="24">+E79</f>
        <v>942.57</v>
      </c>
      <c r="F90" s="393">
        <f>IF(E90=0," ",(ROUND(C90*E90,2)))</f>
        <v>35648</v>
      </c>
      <c r="G90" s="390"/>
    </row>
    <row r="91" spans="1:8" ht="33" customHeight="1">
      <c r="A91" s="451" t="s">
        <v>272</v>
      </c>
      <c r="B91" s="455" t="s">
        <v>144</v>
      </c>
      <c r="C91" s="386">
        <f>+C90</f>
        <v>37.82</v>
      </c>
      <c r="D91" s="456" t="s">
        <v>113</v>
      </c>
      <c r="E91" s="438">
        <f t="shared" si="24"/>
        <v>190.27</v>
      </c>
      <c r="F91" s="393">
        <f t="shared" ref="F91" si="25">IF(E91=0," ",(ROUND(C91*E91,2)))</f>
        <v>7196.01</v>
      </c>
      <c r="G91" s="450"/>
    </row>
    <row r="92" spans="1:8" ht="20.25" customHeight="1">
      <c r="A92" s="445" t="s">
        <v>273</v>
      </c>
      <c r="B92" s="446" t="s">
        <v>174</v>
      </c>
      <c r="C92" s="447"/>
      <c r="D92" s="448"/>
      <c r="E92" s="436">
        <f t="shared" si="24"/>
        <v>0</v>
      </c>
      <c r="F92" s="438"/>
      <c r="G92" s="450"/>
    </row>
    <row r="93" spans="1:8" ht="20.25" customHeight="1">
      <c r="A93" s="451" t="s">
        <v>274</v>
      </c>
      <c r="B93" s="452" t="s">
        <v>150</v>
      </c>
      <c r="C93" s="386">
        <f>+((((0.6+0.25+1.5+2.12+1.5+0.6)+(2.12+0.25+0.25)/2)*(0.1))*(0.25+1.25+0.25))</f>
        <v>1.38</v>
      </c>
      <c r="D93" s="453" t="s">
        <v>113</v>
      </c>
      <c r="E93" s="388">
        <f t="shared" si="24"/>
        <v>5896.31</v>
      </c>
      <c r="F93" s="393">
        <f t="shared" ref="F93" si="26">+E93*C93</f>
        <v>8136.91</v>
      </c>
      <c r="G93" s="454"/>
    </row>
    <row r="94" spans="1:8" ht="20.25" customHeight="1">
      <c r="A94" s="451" t="s">
        <v>275</v>
      </c>
      <c r="B94" s="452" t="s">
        <v>177</v>
      </c>
      <c r="C94" s="386">
        <f>+((((0.6+0.25+1.5+2.12+1.5+0.6)+(2.12+0.25+0.25)/2)*(0.25))*(0.25+1.25+0.25))</f>
        <v>3.45</v>
      </c>
      <c r="D94" s="453" t="s">
        <v>113</v>
      </c>
      <c r="E94" s="388">
        <f t="shared" si="24"/>
        <v>21662.97</v>
      </c>
      <c r="F94" s="393">
        <f t="shared" ref="F94:F97" si="27">+E94*C94</f>
        <v>74737.25</v>
      </c>
      <c r="G94" s="454"/>
      <c r="H94" s="288"/>
    </row>
    <row r="95" spans="1:8" ht="20.25" customHeight="1">
      <c r="A95" s="451" t="s">
        <v>276</v>
      </c>
      <c r="B95" s="452" t="s">
        <v>179</v>
      </c>
      <c r="C95" s="386">
        <f>+(((1.84*1.5)/2)*0.25+((1.84*1.5)/2)*0.25)+(1.75*1.5*2)+(1*1.5)+(2.12*2.65)+(0.8*(0.6+0.25+1.5+2.12+1.5+0.25+0.6))</f>
        <v>18.510000000000002</v>
      </c>
      <c r="D95" s="453" t="s">
        <v>113</v>
      </c>
      <c r="E95" s="388">
        <f t="shared" si="24"/>
        <v>55884.27</v>
      </c>
      <c r="F95" s="393">
        <f t="shared" si="27"/>
        <v>1034417.84</v>
      </c>
      <c r="G95" s="454"/>
    </row>
    <row r="96" spans="1:8" ht="20.25" customHeight="1">
      <c r="A96" s="451" t="s">
        <v>277</v>
      </c>
      <c r="B96" s="455" t="s">
        <v>181</v>
      </c>
      <c r="C96" s="417">
        <f>+(0.8*(2.12+0.25+0.25)*0.25)</f>
        <v>0.52</v>
      </c>
      <c r="D96" s="456" t="s">
        <v>113</v>
      </c>
      <c r="E96" s="436">
        <f t="shared" si="24"/>
        <v>27060.07</v>
      </c>
      <c r="F96" s="438">
        <f t="shared" si="27"/>
        <v>14071.24</v>
      </c>
      <c r="G96" s="450"/>
    </row>
    <row r="97" spans="1:8" ht="20.25" customHeight="1">
      <c r="A97" s="451" t="s">
        <v>278</v>
      </c>
      <c r="B97" s="455" t="s">
        <v>183</v>
      </c>
      <c r="C97" s="386">
        <f>+(0.4*(0.6+0.25+1.5+2.12+1.5+0.25+0.6)*0.25)</f>
        <v>0.68</v>
      </c>
      <c r="D97" s="456" t="s">
        <v>113</v>
      </c>
      <c r="E97" s="388">
        <f t="shared" si="24"/>
        <v>34369.870000000003</v>
      </c>
      <c r="F97" s="393">
        <f t="shared" si="27"/>
        <v>23371.51</v>
      </c>
      <c r="G97" s="463"/>
    </row>
    <row r="98" spans="1:8" ht="20.25" customHeight="1">
      <c r="A98" s="440">
        <f>+A76+0.1</f>
        <v>8.4</v>
      </c>
      <c r="B98" s="385" t="s">
        <v>184</v>
      </c>
      <c r="C98" s="386">
        <v>12</v>
      </c>
      <c r="D98" s="392" t="s">
        <v>121</v>
      </c>
      <c r="E98" s="388">
        <f>+E65*1.3</f>
        <v>207353.19</v>
      </c>
      <c r="F98" s="393">
        <f t="shared" ref="F98" si="28">IF(E98=0," ",(ROUND(C98*E98,2)))</f>
        <v>2488238.2799999998</v>
      </c>
      <c r="G98" s="390"/>
    </row>
    <row r="99" spans="1:8" ht="37.5" customHeight="1">
      <c r="A99" s="440">
        <f>+A98+0.1</f>
        <v>8.5</v>
      </c>
      <c r="B99" s="385" t="s">
        <v>185</v>
      </c>
      <c r="C99" s="386">
        <v>150</v>
      </c>
      <c r="D99" s="392" t="s">
        <v>131</v>
      </c>
      <c r="E99" s="388">
        <v>886.84</v>
      </c>
      <c r="F99" s="393">
        <f>+C99*E99</f>
        <v>133026</v>
      </c>
      <c r="G99" s="390"/>
    </row>
    <row r="100" spans="1:8" ht="42.75" customHeight="1">
      <c r="A100" s="440">
        <f>+A99+0.1</f>
        <v>8.6</v>
      </c>
      <c r="B100" s="385" t="s">
        <v>186</v>
      </c>
      <c r="C100" s="386">
        <v>60</v>
      </c>
      <c r="D100" s="392" t="s">
        <v>187</v>
      </c>
      <c r="E100" s="388">
        <v>22153.62</v>
      </c>
      <c r="F100" s="393">
        <f>+C100*E100</f>
        <v>1329217.2</v>
      </c>
      <c r="G100" s="390">
        <f>SUM(F65:F100)</f>
        <v>46145235.759999998</v>
      </c>
    </row>
    <row r="101" spans="1:8" ht="20.25" customHeight="1">
      <c r="A101" s="428"/>
      <c r="B101" s="429"/>
      <c r="C101" s="296"/>
      <c r="D101" s="297"/>
      <c r="E101" s="363"/>
      <c r="F101" s="430"/>
      <c r="G101" s="298"/>
    </row>
    <row r="102" spans="1:8" ht="23.25" customHeight="1">
      <c r="A102" s="384">
        <v>8</v>
      </c>
      <c r="B102" s="385" t="s">
        <v>188</v>
      </c>
      <c r="C102" s="386"/>
      <c r="D102" s="392"/>
      <c r="E102" s="388"/>
      <c r="F102" s="389" t="str">
        <f>IF(E102=0," ",(ROUND(C102*E102,2)))</f>
        <v xml:space="preserve"> </v>
      </c>
      <c r="G102" s="390"/>
    </row>
    <row r="103" spans="1:8" ht="23.25" customHeight="1">
      <c r="A103" s="391">
        <f>A102+0.1</f>
        <v>8.1</v>
      </c>
      <c r="B103" s="387" t="s">
        <v>189</v>
      </c>
      <c r="C103" s="434">
        <v>360</v>
      </c>
      <c r="D103" s="392" t="s">
        <v>121</v>
      </c>
      <c r="E103" s="388">
        <v>19724.3</v>
      </c>
      <c r="F103" s="393">
        <f>IF(E103=0," ",(ROUND(C103*E103,2)))</f>
        <v>7100748</v>
      </c>
      <c r="G103" s="390">
        <f>SUM(F103)</f>
        <v>7100748</v>
      </c>
      <c r="H103" s="25">
        <f>SUM(F12:F119)</f>
        <v>478253626.87</v>
      </c>
    </row>
    <row r="104" spans="1:8" ht="19.5" customHeight="1">
      <c r="A104" s="294"/>
      <c r="B104" s="292"/>
      <c r="C104" s="289"/>
      <c r="D104" s="293"/>
      <c r="E104" s="290"/>
      <c r="F104" s="431"/>
      <c r="G104" s="295"/>
    </row>
    <row r="105" spans="1:8" ht="20.25" customHeight="1">
      <c r="A105" s="384">
        <v>9</v>
      </c>
      <c r="B105" s="385" t="s">
        <v>190</v>
      </c>
      <c r="C105" s="386"/>
      <c r="D105" s="392"/>
      <c r="E105" s="290"/>
      <c r="F105" s="427" t="str">
        <f>IF(E105=0," ",(ROUND(C105*E105,2)))</f>
        <v xml:space="preserve"> </v>
      </c>
      <c r="G105" s="295"/>
    </row>
    <row r="106" spans="1:8" ht="20.25" customHeight="1">
      <c r="A106" s="391">
        <f>A105+0.1</f>
        <v>9.1</v>
      </c>
      <c r="B106" s="387" t="str">
        <f>+B38</f>
        <v>Ø80" Hormigón Armado Clase III (Cub. Contra factura)</v>
      </c>
      <c r="C106" s="386">
        <f>+C32</f>
        <v>583.84</v>
      </c>
      <c r="D106" s="392" t="s">
        <v>131</v>
      </c>
      <c r="E106" s="388">
        <v>650</v>
      </c>
      <c r="F106" s="393">
        <f>IF(E106=0," ",(ROUND(C106*E106,2)))</f>
        <v>379496</v>
      </c>
      <c r="G106" s="295"/>
    </row>
    <row r="107" spans="1:8" ht="20.25" customHeight="1">
      <c r="A107" s="391">
        <f t="shared" ref="A107:A109" si="29">A106+0.1</f>
        <v>9.1999999999999993</v>
      </c>
      <c r="B107" s="387" t="str">
        <f>+B39</f>
        <v>Ø60" Hormigón Armado Clase III (Cub. Contra factura)</v>
      </c>
      <c r="C107" s="386">
        <f>+C33</f>
        <v>366.26</v>
      </c>
      <c r="D107" s="392" t="s">
        <v>131</v>
      </c>
      <c r="E107" s="388">
        <v>102.3</v>
      </c>
      <c r="F107" s="393">
        <f t="shared" ref="F107" si="30">IF(E107=0," ",(ROUND(C107*E107,2)))</f>
        <v>37468.400000000001</v>
      </c>
      <c r="G107" s="295"/>
    </row>
    <row r="108" spans="1:8" ht="23.25" customHeight="1">
      <c r="A108" s="391">
        <f t="shared" si="29"/>
        <v>9.3000000000000007</v>
      </c>
      <c r="B108" s="387" t="str">
        <f>+B40</f>
        <v>Ø48" Hormigón Armado Clase III (Cub. Contra factura)</v>
      </c>
      <c r="C108" s="386">
        <f>+C34</f>
        <v>283.89999999999998</v>
      </c>
      <c r="D108" s="392" t="s">
        <v>131</v>
      </c>
      <c r="E108" s="388">
        <v>89.56</v>
      </c>
      <c r="F108" s="393">
        <f t="shared" ref="F108" si="31">IF(E108=0," ",(ROUND(C108*E108,2)))</f>
        <v>25426.080000000002</v>
      </c>
      <c r="G108" s="295"/>
    </row>
    <row r="109" spans="1:8" ht="21" customHeight="1" thickBot="1">
      <c r="A109" s="411">
        <f t="shared" si="29"/>
        <v>9.4</v>
      </c>
      <c r="B109" s="412" t="str">
        <f>+B41</f>
        <v>Ø12" PVC - SDR - 32.5</v>
      </c>
      <c r="C109" s="413">
        <f>+C35</f>
        <v>5990.04</v>
      </c>
      <c r="D109" s="414" t="s">
        <v>131</v>
      </c>
      <c r="E109" s="435">
        <v>23.63</v>
      </c>
      <c r="F109" s="437">
        <f>IF(E109=0," ",(ROUND(C109*E109,2)))</f>
        <v>141544.65</v>
      </c>
      <c r="G109" s="462">
        <f>SUM(F106:F109)</f>
        <v>583935.13</v>
      </c>
    </row>
    <row r="110" spans="1:8" ht="20.25" customHeight="1">
      <c r="A110" s="361"/>
      <c r="B110" s="362"/>
      <c r="C110" s="296"/>
      <c r="D110" s="297"/>
      <c r="E110" s="363"/>
      <c r="F110" s="337"/>
      <c r="G110" s="298"/>
    </row>
    <row r="111" spans="1:8" ht="20.25" customHeight="1">
      <c r="A111" s="384">
        <v>10</v>
      </c>
      <c r="B111" s="385" t="s">
        <v>191</v>
      </c>
      <c r="C111" s="386"/>
      <c r="D111" s="392"/>
      <c r="E111" s="388"/>
      <c r="F111" s="393" t="str">
        <f t="shared" ref="F111:F115" si="32">IF(E111=0," ",(ROUND(C111*E111,2)))</f>
        <v xml:space="preserve"> </v>
      </c>
      <c r="G111" s="390"/>
    </row>
    <row r="112" spans="1:8" ht="19.5" customHeight="1">
      <c r="A112" s="391">
        <f>A111+0.1</f>
        <v>10.1</v>
      </c>
      <c r="B112" s="387" t="s">
        <v>192</v>
      </c>
      <c r="C112" s="386">
        <v>1</v>
      </c>
      <c r="D112" s="392" t="s">
        <v>129</v>
      </c>
      <c r="E112" s="388">
        <f>+(648936.35*70)</f>
        <v>45425544.5</v>
      </c>
      <c r="F112" s="393">
        <f t="shared" si="32"/>
        <v>45425544.5</v>
      </c>
      <c r="G112" s="390"/>
      <c r="H112" s="25">
        <f>SUM(F12:F119)</f>
        <v>478253626.87</v>
      </c>
    </row>
    <row r="113" spans="1:8" ht="19.5" customHeight="1">
      <c r="A113" s="391">
        <f t="shared" ref="A113:A115" si="33">A112+0.1</f>
        <v>10.199999999999999</v>
      </c>
      <c r="B113" s="387" t="s">
        <v>193</v>
      </c>
      <c r="C113" s="386">
        <v>600</v>
      </c>
      <c r="D113" s="392" t="s">
        <v>155</v>
      </c>
      <c r="E113" s="388">
        <v>1148.19</v>
      </c>
      <c r="F113" s="393">
        <f t="shared" ref="F113" si="34">IF(E113=0," ",(ROUND(C113*E113,2)))</f>
        <v>688914</v>
      </c>
      <c r="G113" s="390"/>
    </row>
    <row r="114" spans="1:8" ht="19.5" customHeight="1">
      <c r="A114" s="391">
        <f t="shared" si="33"/>
        <v>10.3</v>
      </c>
      <c r="B114" s="387" t="s">
        <v>194</v>
      </c>
      <c r="C114" s="386">
        <f>+C113</f>
        <v>600</v>
      </c>
      <c r="D114" s="392" t="s">
        <v>155</v>
      </c>
      <c r="E114" s="388">
        <v>985.66</v>
      </c>
      <c r="F114" s="393">
        <f t="shared" ref="F114" si="35">IF(E114=0," ",(ROUND(C114*E114,2)))</f>
        <v>591396</v>
      </c>
      <c r="G114" s="390"/>
    </row>
    <row r="115" spans="1:8" ht="19.5" customHeight="1">
      <c r="A115" s="391">
        <f t="shared" si="33"/>
        <v>10.4</v>
      </c>
      <c r="B115" s="387" t="s">
        <v>195</v>
      </c>
      <c r="C115" s="386">
        <f>2000*7</f>
        <v>14000</v>
      </c>
      <c r="D115" s="392" t="s">
        <v>155</v>
      </c>
      <c r="E115" s="388">
        <v>1358.78</v>
      </c>
      <c r="F115" s="393">
        <f t="shared" si="32"/>
        <v>19022920</v>
      </c>
      <c r="G115" s="390">
        <f>SUM(F112:F115)</f>
        <v>65728774.5</v>
      </c>
    </row>
    <row r="116" spans="1:8" ht="19.5" customHeight="1">
      <c r="A116" s="294"/>
      <c r="B116" s="292"/>
      <c r="C116" s="289"/>
      <c r="D116" s="293"/>
      <c r="E116" s="290"/>
      <c r="F116" s="427"/>
      <c r="G116" s="295"/>
    </row>
    <row r="117" spans="1:8" ht="34.5" customHeight="1">
      <c r="A117" s="384">
        <v>11</v>
      </c>
      <c r="B117" s="385" t="s">
        <v>196</v>
      </c>
      <c r="C117" s="386">
        <v>1</v>
      </c>
      <c r="D117" s="419" t="s">
        <v>129</v>
      </c>
      <c r="E117" s="388">
        <v>250000</v>
      </c>
      <c r="F117" s="393">
        <f>IF(E117=0," ",(ROUND(C117*E117,2)))</f>
        <v>250000</v>
      </c>
      <c r="G117" s="390">
        <f>+F117</f>
        <v>250000</v>
      </c>
    </row>
    <row r="118" spans="1:8" ht="19.5" customHeight="1">
      <c r="A118" s="432"/>
      <c r="B118" s="429"/>
      <c r="C118" s="296"/>
      <c r="D118" s="433"/>
      <c r="E118" s="363"/>
      <c r="F118" s="291"/>
      <c r="G118" s="298"/>
    </row>
    <row r="119" spans="1:8" ht="19.5" customHeight="1">
      <c r="A119" s="384">
        <v>12</v>
      </c>
      <c r="B119" s="385" t="s">
        <v>197</v>
      </c>
      <c r="C119" s="386">
        <v>1</v>
      </c>
      <c r="D119" s="419" t="s">
        <v>129</v>
      </c>
      <c r="E119" s="388">
        <v>150000</v>
      </c>
      <c r="F119" s="393">
        <f>IF(E119=0," ",(ROUND(C119*E119,2)))</f>
        <v>150000</v>
      </c>
      <c r="G119" s="390">
        <f>+F119</f>
        <v>150000</v>
      </c>
    </row>
    <row r="120" spans="1:8" ht="19.5" customHeight="1" thickBot="1">
      <c r="A120" s="236"/>
      <c r="B120" s="237"/>
      <c r="C120" s="238"/>
      <c r="D120" s="237"/>
      <c r="E120" s="239"/>
      <c r="F120" s="240"/>
      <c r="G120" s="241"/>
    </row>
    <row r="121" spans="1:8" ht="19.5" customHeight="1" thickTop="1" thickBot="1">
      <c r="A121" s="174"/>
      <c r="B121" s="175" t="s">
        <v>124</v>
      </c>
      <c r="C121" s="176"/>
      <c r="D121" s="177"/>
      <c r="E121" s="178"/>
      <c r="F121" s="179"/>
      <c r="G121" s="180">
        <f>SUM(G16:G119)</f>
        <v>478253626.87</v>
      </c>
      <c r="H121" s="25">
        <f>SUM(F12:F119)</f>
        <v>478253626.87</v>
      </c>
    </row>
    <row r="122" spans="1:8" ht="19.5" customHeight="1" thickTop="1" thickBot="1">
      <c r="A122" s="174"/>
      <c r="B122" s="175" t="s">
        <v>198</v>
      </c>
      <c r="C122" s="176"/>
      <c r="D122" s="177"/>
      <c r="E122" s="178"/>
      <c r="F122" s="179"/>
      <c r="G122" s="180">
        <f>+G121</f>
        <v>478253626.87</v>
      </c>
    </row>
    <row r="123" spans="1:8" ht="19.5" customHeight="1" thickTop="1">
      <c r="A123" s="213"/>
      <c r="B123" s="214"/>
      <c r="C123" s="215"/>
      <c r="D123" s="215"/>
      <c r="E123" s="215"/>
      <c r="F123" s="215"/>
      <c r="G123" s="216"/>
    </row>
    <row r="124" spans="1:8" ht="19.5" customHeight="1">
      <c r="A124" s="573"/>
      <c r="B124" s="217" t="s">
        <v>199</v>
      </c>
      <c r="C124" s="218">
        <v>0.1</v>
      </c>
      <c r="D124" s="219"/>
      <c r="E124" s="219"/>
      <c r="F124" s="219">
        <f>C124*G122</f>
        <v>47825362.689999998</v>
      </c>
      <c r="G124" s="220"/>
    </row>
    <row r="125" spans="1:8" ht="19.5" customHeight="1">
      <c r="A125" s="573"/>
      <c r="B125" s="217" t="s">
        <v>200</v>
      </c>
      <c r="C125" s="218">
        <v>2.5000000000000001E-2</v>
      </c>
      <c r="D125" s="219"/>
      <c r="E125" s="219"/>
      <c r="F125" s="219">
        <f>C125*G122</f>
        <v>11956340.67</v>
      </c>
      <c r="G125" s="220"/>
    </row>
    <row r="126" spans="1:8" ht="19.5" customHeight="1">
      <c r="A126" s="573"/>
      <c r="B126" s="217" t="s">
        <v>201</v>
      </c>
      <c r="C126" s="218">
        <v>5.3499999999999999E-2</v>
      </c>
      <c r="D126" s="219"/>
      <c r="E126" s="219"/>
      <c r="F126" s="219">
        <f>C126*G122</f>
        <v>25586569.039999999</v>
      </c>
      <c r="G126" s="220"/>
    </row>
    <row r="127" spans="1:8" ht="22.5" customHeight="1">
      <c r="A127" s="573"/>
      <c r="B127" s="217" t="s">
        <v>202</v>
      </c>
      <c r="C127" s="218">
        <v>1.4999999999999999E-2</v>
      </c>
      <c r="D127" s="219"/>
      <c r="E127" s="219"/>
      <c r="F127" s="219">
        <f>C127*G122</f>
        <v>7173804.4000000004</v>
      </c>
      <c r="G127" s="220"/>
    </row>
    <row r="128" spans="1:8" ht="21.75" customHeight="1">
      <c r="A128" s="573"/>
      <c r="B128" s="217" t="s">
        <v>203</v>
      </c>
      <c r="C128" s="218">
        <v>0.01</v>
      </c>
      <c r="D128" s="219"/>
      <c r="E128" s="219"/>
      <c r="F128" s="219">
        <f>C128*G122</f>
        <v>4782536.2699999996</v>
      </c>
      <c r="G128" s="220"/>
    </row>
    <row r="129" spans="1:7" ht="21.75" customHeight="1">
      <c r="A129" s="573"/>
      <c r="B129" s="217" t="s">
        <v>204</v>
      </c>
      <c r="C129" s="218">
        <v>0.05</v>
      </c>
      <c r="D129" s="219"/>
      <c r="E129" s="219"/>
      <c r="F129" s="219">
        <f>C129*G122</f>
        <v>23912681.34</v>
      </c>
      <c r="G129" s="220"/>
    </row>
    <row r="130" spans="1:7" ht="21.75" customHeight="1" thickBot="1">
      <c r="A130" s="574"/>
      <c r="B130" s="217"/>
      <c r="C130" s="221"/>
      <c r="D130" s="222"/>
      <c r="E130" s="222"/>
      <c r="F130" s="222"/>
      <c r="G130" s="223"/>
    </row>
    <row r="131" spans="1:7" ht="21.75" customHeight="1" thickTop="1" thickBot="1">
      <c r="A131" s="224"/>
      <c r="B131" s="225" t="s">
        <v>205</v>
      </c>
      <c r="C131" s="226"/>
      <c r="D131" s="227"/>
      <c r="E131" s="225"/>
      <c r="F131" s="228"/>
      <c r="G131" s="229">
        <f>SUM(F124:F129)</f>
        <v>121237294.41</v>
      </c>
    </row>
    <row r="132" spans="1:7" ht="21.75" customHeight="1" thickTop="1" thickBot="1">
      <c r="A132" s="230"/>
      <c r="B132" s="231"/>
      <c r="C132" s="232"/>
      <c r="D132" s="232"/>
      <c r="E132" s="232"/>
      <c r="F132" s="232"/>
      <c r="G132" s="233"/>
    </row>
    <row r="133" spans="1:7" ht="21.75" customHeight="1" thickTop="1" thickBot="1">
      <c r="A133" s="224"/>
      <c r="B133" s="225" t="s">
        <v>206</v>
      </c>
      <c r="C133" s="287">
        <v>0.03</v>
      </c>
      <c r="D133" s="227"/>
      <c r="E133" s="225"/>
      <c r="F133" s="228"/>
      <c r="G133" s="229">
        <f>+G131*C133</f>
        <v>3637118.83</v>
      </c>
    </row>
    <row r="134" spans="1:7" ht="21.75" customHeight="1" thickTop="1" thickBot="1">
      <c r="A134" s="230"/>
      <c r="B134" s="231"/>
      <c r="C134" s="235"/>
      <c r="D134" s="232"/>
      <c r="E134" s="232"/>
      <c r="F134" s="232"/>
      <c r="G134" s="233"/>
    </row>
    <row r="135" spans="1:7" ht="21.75" customHeight="1" thickTop="1" thickBot="1">
      <c r="A135" s="224"/>
      <c r="B135" s="225" t="s">
        <v>207</v>
      </c>
      <c r="C135" s="234"/>
      <c r="D135" s="227"/>
      <c r="E135" s="225"/>
      <c r="F135" s="228"/>
      <c r="G135" s="229">
        <f>G122+G131</f>
        <v>599490921.27999997</v>
      </c>
    </row>
    <row r="136" spans="1:7" ht="21" customHeight="1" thickTop="1" thickBot="1">
      <c r="A136" s="230"/>
      <c r="B136" s="231"/>
      <c r="C136" s="235"/>
      <c r="D136" s="232"/>
      <c r="E136" s="232"/>
      <c r="F136" s="232"/>
      <c r="G136" s="233"/>
    </row>
    <row r="137" spans="1:7" ht="17.25" customHeight="1" thickTop="1" thickBot="1">
      <c r="A137" s="224"/>
      <c r="B137" s="225" t="s">
        <v>208</v>
      </c>
      <c r="C137" s="287">
        <v>0.06</v>
      </c>
      <c r="D137" s="227"/>
      <c r="E137" s="225"/>
      <c r="F137" s="228"/>
      <c r="G137" s="229">
        <f>(+C137*G122)</f>
        <v>28695217.609999999</v>
      </c>
    </row>
    <row r="138" spans="1:7" ht="21.75" customHeight="1" thickTop="1" thickBot="1">
      <c r="A138" s="230"/>
      <c r="B138" s="231"/>
      <c r="C138" s="235"/>
      <c r="D138" s="232"/>
      <c r="E138" s="232"/>
      <c r="F138" s="232"/>
      <c r="G138" s="233"/>
    </row>
    <row r="139" spans="1:7" ht="21.75" customHeight="1" thickTop="1" thickBot="1">
      <c r="A139" s="224"/>
      <c r="B139" s="225" t="s">
        <v>209</v>
      </c>
      <c r="C139" s="287">
        <v>1E-3</v>
      </c>
      <c r="D139" s="227"/>
      <c r="E139" s="225"/>
      <c r="F139" s="228"/>
      <c r="G139" s="229">
        <f>G122*C139</f>
        <v>478253.63</v>
      </c>
    </row>
    <row r="140" spans="1:7" ht="21.75" customHeight="1" thickTop="1" thickBot="1">
      <c r="A140" s="258"/>
      <c r="B140" s="259"/>
      <c r="C140" s="260"/>
      <c r="D140" s="261"/>
      <c r="E140" s="259"/>
      <c r="F140" s="262"/>
      <c r="G140" s="263"/>
    </row>
    <row r="141" spans="1:7" ht="18.75" customHeight="1" thickTop="1" thickBot="1">
      <c r="A141" s="224"/>
      <c r="B141" s="225" t="s">
        <v>210</v>
      </c>
      <c r="C141" s="287">
        <v>0.18</v>
      </c>
      <c r="D141" s="227"/>
      <c r="E141" s="225"/>
      <c r="F141" s="228"/>
      <c r="G141" s="229">
        <f>F124*C141</f>
        <v>8608565.2799999993</v>
      </c>
    </row>
    <row r="142" spans="1:7" ht="18.75" customHeight="1" thickTop="1" thickBot="1">
      <c r="A142" s="258"/>
      <c r="B142" s="259"/>
      <c r="C142" s="260"/>
      <c r="D142" s="261"/>
      <c r="E142" s="259"/>
      <c r="F142" s="262"/>
      <c r="G142" s="263"/>
    </row>
    <row r="143" spans="1:7" ht="18.75" customHeight="1" thickTop="1" thickBot="1">
      <c r="A143" s="279"/>
      <c r="B143" s="280" t="s">
        <v>211</v>
      </c>
      <c r="C143" s="284">
        <v>1</v>
      </c>
      <c r="D143" s="285" t="s">
        <v>129</v>
      </c>
      <c r="E143" s="286"/>
      <c r="F143" s="281"/>
      <c r="G143" s="282">
        <f>2835.36*6*240</f>
        <v>4082918.4</v>
      </c>
    </row>
    <row r="144" spans="1:7" ht="22.5" customHeight="1" thickTop="1" thickBot="1">
      <c r="A144" s="258"/>
      <c r="B144" s="259"/>
      <c r="C144" s="260"/>
      <c r="D144" s="261"/>
      <c r="E144" s="259"/>
      <c r="F144" s="262"/>
      <c r="G144" s="263"/>
    </row>
    <row r="145" spans="1:7" ht="39" customHeight="1" thickTop="1" thickBot="1">
      <c r="A145" s="279"/>
      <c r="B145" s="280" t="s">
        <v>212</v>
      </c>
      <c r="C145" s="284">
        <v>1</v>
      </c>
      <c r="D145" s="285" t="s">
        <v>129</v>
      </c>
      <c r="E145" s="286"/>
      <c r="F145" s="281"/>
      <c r="G145" s="282">
        <f>130*15000+85000</f>
        <v>2035000</v>
      </c>
    </row>
    <row r="146" spans="1:7" ht="17.25" customHeight="1" thickTop="1" thickBot="1">
      <c r="A146" s="230"/>
      <c r="B146" s="231"/>
      <c r="C146" s="235"/>
      <c r="D146" s="232"/>
      <c r="E146" s="283"/>
      <c r="F146" s="232"/>
      <c r="G146" s="233"/>
    </row>
    <row r="147" spans="1:7" ht="18.75" customHeight="1" thickTop="1" thickBot="1">
      <c r="A147" s="224"/>
      <c r="B147" s="225" t="s">
        <v>213</v>
      </c>
      <c r="C147" s="287">
        <v>0.05</v>
      </c>
      <c r="D147" s="227"/>
      <c r="E147" s="225"/>
      <c r="F147" s="228"/>
      <c r="G147" s="229">
        <f>+G135*C147</f>
        <v>29974546.059999999</v>
      </c>
    </row>
    <row r="148" spans="1:7" ht="18.75" customHeight="1" thickTop="1" thickBot="1">
      <c r="A148" s="230"/>
      <c r="B148" s="231"/>
      <c r="C148" s="232"/>
      <c r="D148" s="232"/>
      <c r="E148" s="232"/>
      <c r="F148" s="232"/>
      <c r="G148" s="233"/>
    </row>
    <row r="149" spans="1:7" ht="18.75" customHeight="1" thickTop="1" thickBot="1">
      <c r="A149" s="224"/>
      <c r="B149" s="225" t="s">
        <v>214</v>
      </c>
      <c r="C149" s="226"/>
      <c r="D149" s="227"/>
      <c r="E149" s="225"/>
      <c r="F149" s="228"/>
      <c r="G149" s="229">
        <f>+G147+G145+G141+G143+G139+G137+G135+G133</f>
        <v>677002541.09000003</v>
      </c>
    </row>
    <row r="150" spans="1:7" ht="18.75" customHeight="1" thickTop="1">
      <c r="A150" s="264"/>
      <c r="B150" s="265"/>
      <c r="C150" s="266"/>
      <c r="D150" s="266"/>
      <c r="E150" s="266"/>
      <c r="F150" s="266"/>
      <c r="G150" s="266"/>
    </row>
    <row r="151" spans="1:7" ht="18.75" customHeight="1">
      <c r="A151" s="264"/>
      <c r="B151" s="265"/>
      <c r="C151" s="266"/>
      <c r="D151" s="266"/>
      <c r="E151" s="266"/>
      <c r="F151" s="267"/>
      <c r="G151" s="266"/>
    </row>
    <row r="152" spans="1:7" ht="19.5" customHeight="1">
      <c r="A152" s="268"/>
      <c r="B152" s="269" t="s">
        <v>215</v>
      </c>
      <c r="C152" s="267"/>
      <c r="D152" s="270"/>
      <c r="E152" s="267" t="s">
        <v>216</v>
      </c>
      <c r="F152" s="271"/>
      <c r="G152" s="271"/>
    </row>
    <row r="153" spans="1:7" ht="25.5" customHeight="1">
      <c r="A153" s="268"/>
      <c r="B153" s="269"/>
      <c r="C153" s="267"/>
      <c r="D153" s="270"/>
      <c r="E153" s="267"/>
      <c r="F153" s="271"/>
      <c r="G153" s="271"/>
    </row>
    <row r="154" spans="1:7" ht="23.25" customHeight="1">
      <c r="A154" s="264"/>
      <c r="B154" s="265" t="s">
        <v>217</v>
      </c>
      <c r="C154" s="266"/>
      <c r="D154" s="266"/>
      <c r="E154" s="266" t="s">
        <v>217</v>
      </c>
      <c r="F154" s="267"/>
      <c r="G154" s="266"/>
    </row>
    <row r="155" spans="1:7" ht="21" customHeight="1">
      <c r="A155" s="264"/>
      <c r="B155" s="272" t="s">
        <v>218</v>
      </c>
      <c r="C155" s="273"/>
      <c r="D155" s="266"/>
      <c r="E155" s="274" t="s">
        <v>279</v>
      </c>
      <c r="F155" s="267"/>
      <c r="G155" s="266"/>
    </row>
    <row r="156" spans="1:7" ht="21" customHeight="1">
      <c r="A156" s="264"/>
      <c r="B156" s="265" t="s">
        <v>220</v>
      </c>
      <c r="C156" s="266"/>
      <c r="D156" s="266"/>
      <c r="E156" s="266" t="s">
        <v>221</v>
      </c>
      <c r="F156" s="267"/>
      <c r="G156" s="266"/>
    </row>
    <row r="157" spans="1:7" ht="21" customHeight="1">
      <c r="A157" s="264"/>
      <c r="B157" s="265"/>
      <c r="C157" s="266"/>
      <c r="D157" s="273"/>
      <c r="E157" s="266"/>
      <c r="F157" s="267"/>
      <c r="G157" s="266"/>
    </row>
    <row r="158" spans="1:7" ht="21" customHeight="1">
      <c r="A158" s="275"/>
      <c r="B158" s="265"/>
      <c r="C158" s="266"/>
      <c r="D158" s="266"/>
      <c r="E158" s="266"/>
      <c r="F158" s="267"/>
      <c r="G158" s="266"/>
    </row>
    <row r="159" spans="1:7" ht="21" customHeight="1">
      <c r="A159" s="275"/>
      <c r="B159" s="269" t="s">
        <v>222</v>
      </c>
      <c r="C159" s="267"/>
      <c r="D159" s="276"/>
      <c r="E159" s="267" t="s">
        <v>223</v>
      </c>
      <c r="F159" s="276"/>
      <c r="G159" s="266"/>
    </row>
    <row r="160" spans="1:7" ht="21" customHeight="1">
      <c r="A160" s="275"/>
      <c r="B160" s="269"/>
      <c r="C160" s="267"/>
      <c r="D160" s="276"/>
      <c r="E160" s="267"/>
      <c r="F160" s="276"/>
      <c r="G160" s="266"/>
    </row>
    <row r="161" spans="1:7" ht="21" customHeight="1">
      <c r="A161" s="275"/>
      <c r="B161" s="265" t="s">
        <v>217</v>
      </c>
      <c r="C161" s="266"/>
      <c r="D161" s="266"/>
      <c r="E161" s="266" t="s">
        <v>217</v>
      </c>
      <c r="F161" s="267"/>
      <c r="G161" s="266"/>
    </row>
    <row r="162" spans="1:7" ht="21" customHeight="1">
      <c r="A162" s="275"/>
      <c r="B162" s="272" t="s">
        <v>224</v>
      </c>
      <c r="C162" s="273"/>
      <c r="D162" s="273"/>
      <c r="E162" s="273" t="s">
        <v>225</v>
      </c>
      <c r="F162" s="267"/>
      <c r="G162" s="273"/>
    </row>
    <row r="163" spans="1:7" ht="21" customHeight="1">
      <c r="A163" s="275"/>
      <c r="B163" s="265" t="s">
        <v>226</v>
      </c>
      <c r="C163" s="266"/>
      <c r="D163" s="266"/>
      <c r="E163" s="266" t="s">
        <v>227</v>
      </c>
      <c r="F163" s="267"/>
      <c r="G163" s="266"/>
    </row>
    <row r="164" spans="1:7" ht="15" customHeight="1">
      <c r="A164" s="277"/>
      <c r="B164" s="277"/>
      <c r="C164" s="277"/>
      <c r="D164" s="277"/>
      <c r="E164" s="278"/>
      <c r="F164" s="278"/>
      <c r="G164" s="278"/>
    </row>
    <row r="165" spans="1:7" ht="15" customHeight="1">
      <c r="A165" s="173"/>
      <c r="B165" s="173"/>
      <c r="C165" s="173"/>
      <c r="D165" s="173"/>
      <c r="E165" s="173"/>
      <c r="F165" s="173"/>
      <c r="G165" s="173"/>
    </row>
    <row r="166" spans="1:7" ht="15" customHeight="1">
      <c r="A166" s="132"/>
      <c r="B166" s="132"/>
      <c r="C166" s="133"/>
      <c r="D166" s="132"/>
      <c r="E166" s="134"/>
      <c r="F166" s="135"/>
      <c r="G166" s="135"/>
    </row>
    <row r="167" spans="1:7" ht="15" customHeight="1">
      <c r="A167" s="132"/>
      <c r="B167" s="132"/>
      <c r="C167" s="133"/>
      <c r="D167" s="132"/>
      <c r="E167" s="134"/>
      <c r="F167" s="135"/>
      <c r="G167" s="135"/>
    </row>
    <row r="168" spans="1:7" ht="15" customHeight="1">
      <c r="A168" s="132"/>
      <c r="B168" s="132"/>
      <c r="C168" s="133"/>
      <c r="D168" s="132"/>
      <c r="E168" s="134"/>
      <c r="F168" s="135"/>
      <c r="G168" s="135"/>
    </row>
    <row r="169" spans="1:7" ht="15" customHeight="1">
      <c r="A169" s="132"/>
      <c r="B169" s="132"/>
      <c r="C169" s="133"/>
      <c r="D169" s="132"/>
      <c r="E169" s="134"/>
      <c r="F169" s="135"/>
      <c r="G169" s="135"/>
    </row>
    <row r="170" spans="1:7" ht="15" customHeight="1">
      <c r="A170" s="132"/>
      <c r="B170" s="132"/>
      <c r="C170" s="133"/>
      <c r="D170" s="132"/>
      <c r="E170" s="134"/>
      <c r="F170" s="135"/>
      <c r="G170" s="135"/>
    </row>
    <row r="171" spans="1:7" ht="15" customHeight="1">
      <c r="A171" s="132"/>
      <c r="B171" s="132"/>
      <c r="C171" s="133"/>
      <c r="D171" s="132"/>
      <c r="E171" s="134"/>
      <c r="F171" s="135"/>
      <c r="G171" s="135"/>
    </row>
    <row r="172" spans="1:7" ht="15" customHeight="1">
      <c r="A172" s="132"/>
      <c r="B172" s="132"/>
      <c r="C172" s="133"/>
      <c r="D172" s="132"/>
      <c r="E172" s="134"/>
      <c r="F172" s="135"/>
      <c r="G172" s="135"/>
    </row>
    <row r="173" spans="1:7" ht="15" customHeight="1">
      <c r="A173" s="132"/>
      <c r="B173" s="132"/>
      <c r="C173" s="133"/>
      <c r="D173" s="132"/>
      <c r="E173" s="134"/>
      <c r="F173" s="135"/>
      <c r="G173" s="135"/>
    </row>
    <row r="174" spans="1:7" ht="15" customHeight="1">
      <c r="A174" s="132"/>
      <c r="B174" s="132"/>
      <c r="C174" s="133"/>
      <c r="D174" s="132"/>
      <c r="E174" s="134"/>
      <c r="F174" s="135"/>
      <c r="G174" s="135"/>
    </row>
    <row r="175" spans="1:7" ht="15" customHeight="1">
      <c r="A175" s="132"/>
      <c r="B175" s="132"/>
      <c r="C175" s="133"/>
      <c r="D175" s="132"/>
      <c r="E175" s="134"/>
      <c r="F175" s="135"/>
      <c r="G175" s="135"/>
    </row>
    <row r="176" spans="1:7" ht="15" customHeight="1">
      <c r="A176" s="132"/>
      <c r="B176" s="132"/>
      <c r="C176" s="133"/>
      <c r="D176" s="132"/>
      <c r="E176" s="134"/>
      <c r="F176" s="135"/>
      <c r="G176" s="135"/>
    </row>
    <row r="177" spans="1:7" ht="15" customHeight="1">
      <c r="A177" s="132"/>
      <c r="B177" s="132"/>
      <c r="C177" s="133"/>
      <c r="D177" s="132"/>
      <c r="E177" s="134"/>
      <c r="F177" s="135"/>
      <c r="G177" s="135"/>
    </row>
    <row r="178" spans="1:7" ht="15" customHeight="1">
      <c r="A178" s="132"/>
      <c r="B178" s="132"/>
      <c r="C178" s="133"/>
      <c r="D178" s="132"/>
      <c r="E178" s="134"/>
      <c r="F178" s="135"/>
      <c r="G178" s="135"/>
    </row>
    <row r="179" spans="1:7" ht="15" customHeight="1">
      <c r="A179" s="132"/>
      <c r="B179" s="132"/>
      <c r="C179" s="133"/>
      <c r="D179" s="132"/>
      <c r="E179" s="134"/>
      <c r="F179" s="135"/>
      <c r="G179" s="135"/>
    </row>
    <row r="180" spans="1:7" ht="15" customHeight="1">
      <c r="A180" s="132"/>
      <c r="B180" s="132"/>
      <c r="C180" s="133"/>
      <c r="D180" s="132"/>
      <c r="E180" s="134"/>
      <c r="F180" s="135"/>
      <c r="G180" s="135"/>
    </row>
    <row r="181" spans="1:7" ht="15" customHeight="1">
      <c r="A181" s="132"/>
      <c r="B181" s="132"/>
      <c r="C181" s="133"/>
      <c r="D181" s="132"/>
      <c r="E181" s="134"/>
      <c r="F181" s="135"/>
      <c r="G181" s="135"/>
    </row>
    <row r="182" spans="1:7" ht="15" customHeight="1">
      <c r="A182" s="132"/>
      <c r="B182" s="132"/>
      <c r="C182" s="133"/>
      <c r="D182" s="132"/>
      <c r="E182" s="134"/>
      <c r="F182" s="135"/>
      <c r="G182" s="135"/>
    </row>
    <row r="183" spans="1:7" ht="15" customHeight="1">
      <c r="A183" s="132"/>
      <c r="B183" s="132"/>
      <c r="C183" s="133"/>
      <c r="D183" s="132"/>
      <c r="E183" s="134"/>
      <c r="F183" s="135"/>
      <c r="G183" s="135"/>
    </row>
    <row r="184" spans="1:7" ht="15" customHeight="1">
      <c r="A184" s="132"/>
      <c r="B184" s="132"/>
      <c r="C184" s="133"/>
      <c r="D184" s="132"/>
      <c r="E184" s="134"/>
      <c r="F184" s="135"/>
      <c r="G184" s="135"/>
    </row>
    <row r="185" spans="1:7" ht="15" customHeight="1">
      <c r="A185" s="132"/>
      <c r="B185" s="132"/>
      <c r="C185" s="133"/>
      <c r="D185" s="132"/>
      <c r="E185" s="134"/>
      <c r="F185" s="135"/>
      <c r="G185" s="135"/>
    </row>
    <row r="186" spans="1:7" ht="15" customHeight="1">
      <c r="A186" s="132"/>
      <c r="B186" s="132"/>
      <c r="C186" s="133"/>
      <c r="D186" s="132"/>
      <c r="E186" s="134"/>
      <c r="F186" s="135"/>
      <c r="G186" s="135"/>
    </row>
    <row r="187" spans="1:7" ht="15" customHeight="1">
      <c r="A187" s="132"/>
      <c r="B187" s="132"/>
      <c r="C187" s="133"/>
      <c r="D187" s="132"/>
      <c r="E187" s="134"/>
      <c r="F187" s="135"/>
      <c r="G187" s="135"/>
    </row>
    <row r="188" spans="1:7" ht="15" customHeight="1">
      <c r="A188" s="132"/>
      <c r="B188" s="132"/>
      <c r="C188" s="133"/>
      <c r="D188" s="132"/>
      <c r="E188" s="134"/>
      <c r="F188" s="135"/>
      <c r="G188" s="135"/>
    </row>
    <row r="189" spans="1:7" ht="15" customHeight="1">
      <c r="A189" s="132"/>
      <c r="B189" s="132"/>
      <c r="C189" s="133"/>
      <c r="D189" s="132"/>
      <c r="E189" s="134"/>
      <c r="F189" s="135"/>
      <c r="G189" s="135"/>
    </row>
    <row r="190" spans="1:7" ht="15" customHeight="1">
      <c r="A190" s="132"/>
      <c r="B190" s="132"/>
      <c r="C190" s="133"/>
      <c r="D190" s="132"/>
      <c r="E190" s="134"/>
      <c r="F190" s="135"/>
      <c r="G190" s="135"/>
    </row>
    <row r="191" spans="1:7" ht="15" customHeight="1">
      <c r="A191" s="132"/>
      <c r="B191" s="132"/>
      <c r="C191" s="133"/>
      <c r="D191" s="132"/>
      <c r="E191" s="134"/>
      <c r="F191" s="135"/>
      <c r="G191" s="135"/>
    </row>
    <row r="192" spans="1:7" ht="15" customHeight="1">
      <c r="A192" s="132"/>
      <c r="B192" s="132"/>
      <c r="C192" s="133"/>
      <c r="D192" s="132"/>
      <c r="E192" s="134"/>
      <c r="F192" s="135"/>
      <c r="G192" s="135"/>
    </row>
    <row r="193" spans="1:7" ht="15" customHeight="1">
      <c r="A193" s="132"/>
      <c r="B193" s="132"/>
      <c r="C193" s="133"/>
      <c r="D193" s="132"/>
      <c r="E193" s="134"/>
      <c r="F193" s="135"/>
      <c r="G193" s="135"/>
    </row>
    <row r="194" spans="1:7" ht="15" customHeight="1">
      <c r="A194" s="132"/>
      <c r="B194" s="132"/>
      <c r="C194" s="133"/>
      <c r="D194" s="132"/>
      <c r="E194" s="134"/>
      <c r="F194" s="135"/>
      <c r="G194" s="135"/>
    </row>
    <row r="195" spans="1:7" ht="15" customHeight="1">
      <c r="A195" s="132"/>
      <c r="B195" s="132"/>
      <c r="C195" s="133"/>
      <c r="D195" s="132"/>
      <c r="E195" s="134"/>
      <c r="F195" s="135"/>
      <c r="G195" s="135"/>
    </row>
    <row r="196" spans="1:7" ht="15" customHeight="1">
      <c r="A196" s="132"/>
      <c r="B196" s="132"/>
      <c r="C196" s="133"/>
      <c r="D196" s="132"/>
      <c r="E196" s="134"/>
      <c r="F196" s="135"/>
      <c r="G196" s="135"/>
    </row>
    <row r="197" spans="1:7" ht="15" customHeight="1">
      <c r="A197" s="132"/>
      <c r="B197" s="132"/>
      <c r="C197" s="133"/>
      <c r="D197" s="132"/>
      <c r="E197" s="134"/>
      <c r="F197" s="135"/>
      <c r="G197" s="135"/>
    </row>
    <row r="198" spans="1:7" ht="15" customHeight="1">
      <c r="A198" s="132"/>
      <c r="B198" s="132"/>
      <c r="C198" s="133"/>
      <c r="D198" s="132"/>
      <c r="E198" s="134"/>
      <c r="F198" s="135"/>
      <c r="G198" s="135"/>
    </row>
    <row r="199" spans="1:7" ht="15" customHeight="1">
      <c r="A199" s="132"/>
      <c r="B199" s="132"/>
      <c r="C199" s="133"/>
      <c r="D199" s="132"/>
      <c r="E199" s="134"/>
      <c r="F199" s="135"/>
      <c r="G199" s="135"/>
    </row>
    <row r="200" spans="1:7" ht="15" customHeight="1">
      <c r="A200" s="132"/>
      <c r="B200" s="132"/>
      <c r="C200" s="133"/>
      <c r="D200" s="132"/>
      <c r="E200" s="134"/>
      <c r="F200" s="135"/>
      <c r="G200" s="135"/>
    </row>
    <row r="201" spans="1:7" ht="15" customHeight="1">
      <c r="A201" s="132"/>
      <c r="B201" s="132"/>
      <c r="C201" s="133"/>
      <c r="D201" s="132"/>
      <c r="E201" s="134"/>
      <c r="F201" s="135"/>
      <c r="G201" s="135"/>
    </row>
    <row r="202" spans="1:7" ht="15" customHeight="1">
      <c r="A202" s="132"/>
      <c r="B202" s="132"/>
      <c r="C202" s="133"/>
      <c r="D202" s="132"/>
      <c r="E202" s="134"/>
      <c r="F202" s="135"/>
      <c r="G202" s="135"/>
    </row>
    <row r="203" spans="1:7" ht="15" customHeight="1">
      <c r="A203" s="132"/>
      <c r="B203" s="132"/>
      <c r="C203" s="133"/>
      <c r="D203" s="132"/>
      <c r="E203" s="134"/>
      <c r="F203" s="135"/>
      <c r="G203" s="135"/>
    </row>
    <row r="204" spans="1:7" ht="15" customHeight="1">
      <c r="A204" s="132"/>
      <c r="B204" s="132"/>
      <c r="C204" s="133"/>
      <c r="D204" s="132"/>
      <c r="E204" s="134"/>
      <c r="F204" s="135"/>
      <c r="G204" s="135"/>
    </row>
    <row r="205" spans="1:7" ht="15" customHeight="1">
      <c r="A205" s="132"/>
      <c r="B205" s="132"/>
      <c r="C205" s="133"/>
      <c r="D205" s="132"/>
      <c r="E205" s="134"/>
      <c r="F205" s="135"/>
      <c r="G205" s="135"/>
    </row>
    <row r="206" spans="1:7" ht="15" customHeight="1">
      <c r="A206" s="132"/>
      <c r="B206" s="132"/>
      <c r="C206" s="133"/>
      <c r="D206" s="132"/>
      <c r="E206" s="134"/>
      <c r="F206" s="135"/>
      <c r="G206" s="135"/>
    </row>
    <row r="207" spans="1:7" ht="15" customHeight="1">
      <c r="A207" s="132"/>
      <c r="B207" s="132"/>
      <c r="C207" s="133"/>
      <c r="D207" s="132"/>
      <c r="E207" s="134"/>
      <c r="F207" s="135"/>
      <c r="G207" s="135"/>
    </row>
    <row r="208" spans="1:7" ht="15" customHeight="1">
      <c r="A208" s="132"/>
      <c r="B208" s="132"/>
      <c r="C208" s="133"/>
      <c r="D208" s="132"/>
      <c r="E208" s="134"/>
      <c r="F208" s="135"/>
      <c r="G208" s="135"/>
    </row>
    <row r="209" spans="1:7" ht="15" customHeight="1">
      <c r="A209" s="132"/>
      <c r="B209" s="132"/>
      <c r="C209" s="133"/>
      <c r="D209" s="132"/>
      <c r="E209" s="134"/>
      <c r="F209" s="135"/>
      <c r="G209" s="135"/>
    </row>
    <row r="210" spans="1:7" ht="15" customHeight="1">
      <c r="A210" s="132"/>
      <c r="B210" s="132"/>
      <c r="C210" s="133"/>
      <c r="D210" s="132"/>
      <c r="E210" s="134"/>
      <c r="F210" s="135"/>
      <c r="G210" s="135"/>
    </row>
    <row r="211" spans="1:7" ht="15" customHeight="1">
      <c r="A211" s="132"/>
      <c r="B211" s="132"/>
      <c r="C211" s="133"/>
      <c r="D211" s="132"/>
      <c r="E211" s="134"/>
      <c r="F211" s="135"/>
      <c r="G211" s="135"/>
    </row>
    <row r="212" spans="1:7" ht="15" customHeight="1">
      <c r="A212" s="132"/>
      <c r="B212" s="132"/>
      <c r="C212" s="133"/>
      <c r="D212" s="132"/>
      <c r="E212" s="134"/>
      <c r="F212" s="135"/>
      <c r="G212" s="135"/>
    </row>
    <row r="213" spans="1:7" ht="15" customHeight="1">
      <c r="A213" s="132"/>
      <c r="B213" s="132"/>
      <c r="C213" s="133"/>
      <c r="D213" s="132"/>
      <c r="E213" s="134"/>
      <c r="F213" s="135"/>
      <c r="G213" s="135"/>
    </row>
    <row r="214" spans="1:7" ht="15" customHeight="1">
      <c r="A214" s="132"/>
      <c r="B214" s="132"/>
      <c r="C214" s="133"/>
      <c r="D214" s="132"/>
      <c r="E214" s="134"/>
      <c r="F214" s="135"/>
      <c r="G214" s="135"/>
    </row>
    <row r="215" spans="1:7" ht="15" customHeight="1">
      <c r="A215" s="132"/>
      <c r="B215" s="132"/>
      <c r="C215" s="133"/>
      <c r="D215" s="132"/>
      <c r="E215" s="134"/>
      <c r="F215" s="135"/>
      <c r="G215" s="135"/>
    </row>
    <row r="216" spans="1:7" ht="15" customHeight="1">
      <c r="A216" s="132"/>
      <c r="B216" s="132"/>
      <c r="C216" s="133"/>
      <c r="D216" s="132"/>
      <c r="E216" s="134"/>
      <c r="F216" s="135"/>
      <c r="G216" s="135"/>
    </row>
    <row r="217" spans="1:7" ht="15" customHeight="1">
      <c r="A217" s="132"/>
      <c r="B217" s="132"/>
      <c r="C217" s="133"/>
      <c r="D217" s="132"/>
      <c r="E217" s="134"/>
      <c r="F217" s="135"/>
      <c r="G217" s="135"/>
    </row>
    <row r="218" spans="1:7" ht="15" customHeight="1">
      <c r="A218" s="132"/>
      <c r="B218" s="132"/>
      <c r="C218" s="133"/>
      <c r="D218" s="132"/>
      <c r="E218" s="134"/>
      <c r="F218" s="135"/>
      <c r="G218" s="135"/>
    </row>
    <row r="219" spans="1:7" ht="15" customHeight="1">
      <c r="A219" s="132"/>
      <c r="B219" s="132"/>
      <c r="C219" s="133"/>
      <c r="D219" s="132"/>
      <c r="E219" s="134"/>
      <c r="F219" s="135"/>
      <c r="G219" s="135"/>
    </row>
    <row r="220" spans="1:7" ht="15" customHeight="1">
      <c r="A220" s="132"/>
      <c r="B220" s="132"/>
      <c r="C220" s="133"/>
      <c r="D220" s="132"/>
      <c r="E220" s="134"/>
      <c r="F220" s="135"/>
      <c r="G220" s="135"/>
    </row>
    <row r="221" spans="1:7" ht="15" customHeight="1">
      <c r="A221" s="132"/>
      <c r="B221" s="132"/>
      <c r="C221" s="133"/>
      <c r="D221" s="132"/>
      <c r="E221" s="134"/>
      <c r="F221" s="135"/>
      <c r="G221" s="135"/>
    </row>
    <row r="222" spans="1:7" ht="15" customHeight="1">
      <c r="A222" s="132"/>
      <c r="B222" s="132"/>
      <c r="C222" s="133"/>
      <c r="D222" s="132"/>
      <c r="E222" s="134"/>
      <c r="F222" s="135"/>
      <c r="G222" s="135"/>
    </row>
    <row r="223" spans="1:7" ht="15" customHeight="1">
      <c r="A223" s="132"/>
      <c r="B223" s="132"/>
      <c r="C223" s="133"/>
      <c r="D223" s="132"/>
      <c r="E223" s="134"/>
      <c r="F223" s="135"/>
      <c r="G223" s="135"/>
    </row>
    <row r="224" spans="1:7" ht="15" customHeight="1">
      <c r="A224" s="132"/>
      <c r="B224" s="132"/>
      <c r="C224" s="133"/>
      <c r="D224" s="132"/>
      <c r="E224" s="134"/>
      <c r="F224" s="135"/>
      <c r="G224" s="135"/>
    </row>
    <row r="225" spans="1:7" ht="15" customHeight="1">
      <c r="A225" s="132"/>
      <c r="B225" s="132"/>
      <c r="C225" s="133"/>
      <c r="D225" s="132"/>
      <c r="E225" s="134"/>
      <c r="F225" s="135"/>
      <c r="G225" s="135"/>
    </row>
    <row r="226" spans="1:7" ht="15" customHeight="1">
      <c r="A226" s="132"/>
      <c r="B226" s="132"/>
      <c r="C226" s="133"/>
      <c r="D226" s="132"/>
      <c r="E226" s="134"/>
      <c r="F226" s="135"/>
      <c r="G226" s="135"/>
    </row>
    <row r="227" spans="1:7" ht="15" customHeight="1">
      <c r="A227" s="132"/>
      <c r="B227" s="132"/>
      <c r="C227" s="133"/>
      <c r="D227" s="132"/>
      <c r="E227" s="134"/>
      <c r="F227" s="135"/>
      <c r="G227" s="135"/>
    </row>
    <row r="228" spans="1:7" ht="15" customHeight="1">
      <c r="A228" s="132"/>
      <c r="B228" s="132"/>
      <c r="C228" s="133"/>
      <c r="D228" s="132"/>
      <c r="E228" s="134"/>
      <c r="F228" s="135"/>
      <c r="G228" s="135"/>
    </row>
    <row r="229" spans="1:7" ht="15" customHeight="1">
      <c r="A229" s="132"/>
      <c r="B229" s="132"/>
      <c r="C229" s="133"/>
      <c r="D229" s="132"/>
      <c r="E229" s="134"/>
      <c r="F229" s="135"/>
      <c r="G229" s="135"/>
    </row>
    <row r="230" spans="1:7" ht="15" customHeight="1">
      <c r="A230" s="132"/>
      <c r="B230" s="132"/>
      <c r="C230" s="133"/>
      <c r="D230" s="132"/>
      <c r="E230" s="134"/>
      <c r="F230" s="135"/>
      <c r="G230" s="135"/>
    </row>
    <row r="231" spans="1:7" ht="15" customHeight="1">
      <c r="A231" s="132"/>
      <c r="B231" s="132"/>
      <c r="C231" s="133"/>
      <c r="D231" s="132"/>
      <c r="E231" s="134"/>
      <c r="F231" s="135"/>
      <c r="G231" s="135"/>
    </row>
    <row r="232" spans="1:7" ht="15" customHeight="1">
      <c r="A232" s="132"/>
      <c r="B232" s="132"/>
      <c r="C232" s="133"/>
      <c r="D232" s="132"/>
      <c r="E232" s="134"/>
      <c r="F232" s="135"/>
      <c r="G232" s="135"/>
    </row>
    <row r="233" spans="1:7" ht="15" customHeight="1">
      <c r="A233" s="132"/>
      <c r="B233" s="132"/>
      <c r="C233" s="133"/>
      <c r="D233" s="132"/>
      <c r="E233" s="134"/>
      <c r="F233" s="135"/>
      <c r="G233" s="135"/>
    </row>
    <row r="234" spans="1:7" ht="15" customHeight="1">
      <c r="A234" s="132"/>
      <c r="B234" s="132"/>
      <c r="C234" s="133"/>
      <c r="D234" s="132"/>
      <c r="E234" s="134"/>
      <c r="F234" s="135"/>
      <c r="G234" s="135"/>
    </row>
    <row r="235" spans="1:7" ht="15" customHeight="1">
      <c r="A235" s="132"/>
      <c r="B235" s="132"/>
      <c r="C235" s="133"/>
      <c r="D235" s="132"/>
      <c r="E235" s="134"/>
      <c r="F235" s="135"/>
      <c r="G235" s="135"/>
    </row>
    <row r="236" spans="1:7" ht="15" customHeight="1">
      <c r="A236" s="132"/>
      <c r="B236" s="132"/>
      <c r="C236" s="133"/>
      <c r="D236" s="132"/>
      <c r="E236" s="134"/>
      <c r="F236" s="135"/>
      <c r="G236" s="135"/>
    </row>
    <row r="237" spans="1:7" ht="15" customHeight="1">
      <c r="A237" s="132"/>
      <c r="B237" s="132"/>
      <c r="C237" s="133"/>
      <c r="D237" s="132"/>
      <c r="E237" s="134"/>
      <c r="F237" s="135"/>
      <c r="G237" s="135"/>
    </row>
    <row r="238" spans="1:7" ht="15" customHeight="1">
      <c r="A238" s="132"/>
      <c r="B238" s="132"/>
      <c r="C238" s="133"/>
      <c r="D238" s="132"/>
      <c r="E238" s="134"/>
      <c r="F238" s="135"/>
      <c r="G238" s="135"/>
    </row>
    <row r="239" spans="1:7" ht="15" customHeight="1">
      <c r="A239" s="132"/>
      <c r="B239" s="132"/>
      <c r="C239" s="133"/>
      <c r="D239" s="132"/>
      <c r="E239" s="134"/>
      <c r="F239" s="135"/>
      <c r="G239" s="135"/>
    </row>
    <row r="240" spans="1:7" ht="15" customHeight="1">
      <c r="A240" s="132"/>
      <c r="B240" s="132"/>
      <c r="C240" s="133"/>
      <c r="D240" s="132"/>
      <c r="E240" s="134"/>
      <c r="F240" s="135"/>
      <c r="G240" s="135"/>
    </row>
    <row r="241" spans="1:7" ht="15" customHeight="1">
      <c r="A241" s="132"/>
      <c r="B241" s="132"/>
      <c r="C241" s="133"/>
      <c r="D241" s="132"/>
      <c r="E241" s="134"/>
      <c r="F241" s="135"/>
      <c r="G241" s="135"/>
    </row>
    <row r="242" spans="1:7" ht="15" customHeight="1">
      <c r="A242" s="132"/>
      <c r="B242" s="132"/>
      <c r="C242" s="133"/>
      <c r="D242" s="132"/>
      <c r="E242" s="134"/>
      <c r="F242" s="135"/>
      <c r="G242" s="135"/>
    </row>
    <row r="243" spans="1:7" ht="15" customHeight="1">
      <c r="A243" s="132"/>
      <c r="B243" s="132"/>
      <c r="C243" s="133"/>
      <c r="D243" s="132"/>
      <c r="E243" s="134"/>
      <c r="F243" s="135"/>
      <c r="G243" s="135"/>
    </row>
    <row r="244" spans="1:7" ht="15" customHeight="1">
      <c r="A244" s="132"/>
      <c r="B244" s="132"/>
      <c r="C244" s="133"/>
      <c r="D244" s="132"/>
      <c r="E244" s="134"/>
      <c r="F244" s="135"/>
      <c r="G244" s="135"/>
    </row>
    <row r="245" spans="1:7" ht="15" customHeight="1">
      <c r="A245" s="132"/>
      <c r="B245" s="132"/>
      <c r="C245" s="133"/>
      <c r="D245" s="132"/>
      <c r="E245" s="134"/>
      <c r="F245" s="135"/>
      <c r="G245" s="135"/>
    </row>
    <row r="246" spans="1:7" ht="15" customHeight="1">
      <c r="A246" s="132"/>
      <c r="B246" s="132"/>
      <c r="C246" s="133"/>
      <c r="D246" s="132"/>
      <c r="E246" s="134"/>
      <c r="F246" s="135"/>
      <c r="G246" s="135"/>
    </row>
    <row r="247" spans="1:7" ht="15" customHeight="1">
      <c r="A247" s="132"/>
      <c r="B247" s="132"/>
      <c r="C247" s="133"/>
      <c r="D247" s="132"/>
      <c r="E247" s="134"/>
      <c r="F247" s="135"/>
      <c r="G247" s="135"/>
    </row>
    <row r="248" spans="1:7" ht="15" customHeight="1">
      <c r="A248" s="132"/>
      <c r="B248" s="132"/>
      <c r="C248" s="133"/>
      <c r="D248" s="132"/>
      <c r="E248" s="134"/>
      <c r="F248" s="135"/>
      <c r="G248" s="135"/>
    </row>
    <row r="249" spans="1:7" ht="15" customHeight="1">
      <c r="A249" s="132"/>
      <c r="B249" s="132"/>
      <c r="C249" s="133"/>
      <c r="D249" s="132"/>
      <c r="E249" s="134"/>
      <c r="F249" s="135"/>
      <c r="G249" s="135"/>
    </row>
    <row r="250" spans="1:7" ht="15" customHeight="1">
      <c r="A250" s="132"/>
      <c r="B250" s="132"/>
      <c r="C250" s="133"/>
      <c r="D250" s="132"/>
      <c r="E250" s="134"/>
      <c r="F250" s="135"/>
      <c r="G250" s="135"/>
    </row>
    <row r="251" spans="1:7" ht="15" customHeight="1">
      <c r="A251" s="132"/>
      <c r="B251" s="132"/>
      <c r="C251" s="133"/>
      <c r="D251" s="132"/>
      <c r="E251" s="134"/>
      <c r="F251" s="135"/>
      <c r="G251" s="135"/>
    </row>
    <row r="252" spans="1:7" ht="15" customHeight="1">
      <c r="A252" s="132"/>
      <c r="B252" s="132"/>
      <c r="C252" s="133"/>
      <c r="D252" s="132"/>
      <c r="E252" s="134"/>
      <c r="F252" s="135"/>
      <c r="G252" s="135"/>
    </row>
    <row r="253" spans="1:7" ht="15" customHeight="1">
      <c r="A253" s="132"/>
      <c r="B253" s="132"/>
      <c r="C253" s="133"/>
      <c r="D253" s="132"/>
      <c r="E253" s="134"/>
      <c r="F253" s="135"/>
      <c r="G253" s="135"/>
    </row>
    <row r="254" spans="1:7" ht="15" customHeight="1">
      <c r="A254" s="132"/>
      <c r="B254" s="132"/>
      <c r="C254" s="133"/>
      <c r="D254" s="132"/>
      <c r="E254" s="134"/>
      <c r="F254" s="135"/>
      <c r="G254" s="135"/>
    </row>
    <row r="255" spans="1:7" ht="15" customHeight="1">
      <c r="A255" s="132"/>
      <c r="B255" s="132"/>
      <c r="C255" s="133"/>
      <c r="D255" s="132"/>
      <c r="E255" s="134"/>
      <c r="F255" s="135"/>
      <c r="G255" s="135"/>
    </row>
    <row r="256" spans="1:7" ht="15" customHeight="1">
      <c r="A256" s="132"/>
      <c r="B256" s="132"/>
      <c r="C256" s="133"/>
      <c r="D256" s="132"/>
      <c r="E256" s="134"/>
      <c r="F256" s="135"/>
      <c r="G256" s="135"/>
    </row>
    <row r="257" spans="1:7" ht="15" customHeight="1">
      <c r="A257" s="132"/>
      <c r="B257" s="132"/>
      <c r="C257" s="133"/>
      <c r="D257" s="132"/>
      <c r="E257" s="134"/>
      <c r="F257" s="135"/>
      <c r="G257" s="135"/>
    </row>
    <row r="258" spans="1:7" ht="15" customHeight="1">
      <c r="A258" s="132"/>
      <c r="B258" s="132"/>
      <c r="C258" s="133"/>
      <c r="D258" s="132"/>
      <c r="E258" s="134"/>
      <c r="F258" s="135"/>
      <c r="G258" s="135"/>
    </row>
    <row r="259" spans="1:7" ht="15" customHeight="1">
      <c r="A259" s="132"/>
      <c r="B259" s="132"/>
      <c r="C259" s="133"/>
      <c r="D259" s="132"/>
      <c r="E259" s="134"/>
      <c r="F259" s="135"/>
      <c r="G259" s="135"/>
    </row>
    <row r="260" spans="1:7" ht="15" customHeight="1">
      <c r="A260" s="132"/>
      <c r="B260" s="132"/>
      <c r="C260" s="133"/>
      <c r="D260" s="132"/>
      <c r="E260" s="134"/>
      <c r="F260" s="135"/>
      <c r="G260" s="135"/>
    </row>
    <row r="261" spans="1:7" ht="15" customHeight="1">
      <c r="A261" s="132"/>
      <c r="B261" s="132"/>
      <c r="C261" s="133"/>
      <c r="D261" s="132"/>
      <c r="E261" s="134"/>
      <c r="F261" s="135"/>
      <c r="G261" s="135"/>
    </row>
    <row r="262" spans="1:7" ht="15" customHeight="1">
      <c r="A262" s="132"/>
      <c r="B262" s="132"/>
      <c r="C262" s="133"/>
      <c r="D262" s="132"/>
      <c r="E262" s="134"/>
      <c r="F262" s="135"/>
      <c r="G262" s="135"/>
    </row>
    <row r="263" spans="1:7" ht="15" customHeight="1">
      <c r="A263" s="132"/>
      <c r="B263" s="132"/>
      <c r="C263" s="133"/>
      <c r="D263" s="132"/>
      <c r="E263" s="134"/>
      <c r="F263" s="135"/>
      <c r="G263" s="135"/>
    </row>
    <row r="264" spans="1:7" ht="15" customHeight="1">
      <c r="A264" s="132"/>
      <c r="B264" s="132"/>
      <c r="C264" s="133"/>
      <c r="D264" s="132"/>
      <c r="E264" s="134"/>
      <c r="F264" s="135"/>
      <c r="G264" s="135"/>
    </row>
    <row r="265" spans="1:7" ht="15" customHeight="1">
      <c r="A265" s="132"/>
      <c r="B265" s="132"/>
      <c r="C265" s="133"/>
      <c r="D265" s="132"/>
      <c r="E265" s="134"/>
      <c r="F265" s="135"/>
      <c r="G265" s="135"/>
    </row>
    <row r="266" spans="1:7" ht="15" customHeight="1">
      <c r="A266" s="132"/>
      <c r="B266" s="132"/>
      <c r="C266" s="133"/>
      <c r="D266" s="132"/>
      <c r="E266" s="134"/>
      <c r="F266" s="135"/>
      <c r="G266" s="135"/>
    </row>
    <row r="267" spans="1:7" ht="15" customHeight="1">
      <c r="A267" s="132"/>
      <c r="B267" s="132"/>
      <c r="C267" s="133"/>
      <c r="D267" s="132"/>
      <c r="E267" s="134"/>
      <c r="F267" s="135"/>
      <c r="G267" s="135"/>
    </row>
    <row r="268" spans="1:7" ht="15" customHeight="1">
      <c r="A268" s="132"/>
      <c r="B268" s="132"/>
      <c r="C268" s="133"/>
      <c r="D268" s="132"/>
      <c r="E268" s="134"/>
      <c r="F268" s="135"/>
      <c r="G268" s="135"/>
    </row>
    <row r="269" spans="1:7" ht="15" customHeight="1">
      <c r="A269" s="132"/>
      <c r="B269" s="132"/>
      <c r="C269" s="133"/>
      <c r="D269" s="132"/>
      <c r="E269" s="134"/>
      <c r="F269" s="135"/>
      <c r="G269" s="135"/>
    </row>
    <row r="270" spans="1:7" ht="15" customHeight="1">
      <c r="A270" s="132"/>
      <c r="B270" s="132"/>
      <c r="C270" s="133"/>
      <c r="D270" s="132"/>
      <c r="E270" s="134"/>
      <c r="F270" s="135"/>
      <c r="G270" s="135"/>
    </row>
    <row r="271" spans="1:7" ht="15" customHeight="1">
      <c r="A271" s="132"/>
      <c r="B271" s="132"/>
      <c r="C271" s="133"/>
      <c r="D271" s="132"/>
      <c r="E271" s="134"/>
      <c r="F271" s="135"/>
      <c r="G271" s="135"/>
    </row>
    <row r="272" spans="1:7" ht="15" customHeight="1">
      <c r="A272" s="132"/>
      <c r="B272" s="132"/>
      <c r="C272" s="133"/>
      <c r="D272" s="132"/>
      <c r="E272" s="134"/>
      <c r="F272" s="135"/>
      <c r="G272" s="135"/>
    </row>
    <row r="273" spans="1:7" ht="15" customHeight="1">
      <c r="A273" s="132"/>
      <c r="B273" s="132"/>
      <c r="C273" s="133"/>
      <c r="D273" s="132"/>
      <c r="E273" s="134"/>
      <c r="F273" s="135"/>
      <c r="G273" s="135"/>
    </row>
    <row r="274" spans="1:7" ht="15" customHeight="1">
      <c r="A274" s="132"/>
      <c r="B274" s="132"/>
      <c r="C274" s="133"/>
      <c r="D274" s="132"/>
      <c r="E274" s="134"/>
      <c r="F274" s="135"/>
      <c r="G274" s="135"/>
    </row>
    <row r="275" spans="1:7" ht="15" customHeight="1">
      <c r="A275" s="132"/>
      <c r="B275" s="132"/>
      <c r="C275" s="133"/>
      <c r="D275" s="132"/>
      <c r="E275" s="134"/>
      <c r="F275" s="135"/>
      <c r="G275" s="135"/>
    </row>
    <row r="276" spans="1:7" ht="15" customHeight="1">
      <c r="A276" s="132"/>
      <c r="B276" s="132"/>
      <c r="C276" s="133"/>
      <c r="D276" s="132"/>
      <c r="E276" s="134"/>
      <c r="F276" s="135"/>
      <c r="G276" s="135"/>
    </row>
    <row r="277" spans="1:7" ht="15" customHeight="1">
      <c r="A277" s="132"/>
      <c r="B277" s="132"/>
      <c r="C277" s="133"/>
      <c r="D277" s="132"/>
      <c r="E277" s="134"/>
      <c r="F277" s="135"/>
      <c r="G277" s="135"/>
    </row>
    <row r="278" spans="1:7" ht="15" customHeight="1">
      <c r="A278" s="132"/>
      <c r="B278" s="132"/>
      <c r="C278" s="133"/>
      <c r="D278" s="132"/>
      <c r="E278" s="134"/>
      <c r="F278" s="135"/>
      <c r="G278" s="135"/>
    </row>
    <row r="279" spans="1:7" ht="15" customHeight="1">
      <c r="A279" s="132"/>
      <c r="B279" s="132"/>
      <c r="C279" s="133"/>
      <c r="D279" s="132"/>
      <c r="E279" s="134"/>
      <c r="F279" s="135"/>
      <c r="G279" s="135"/>
    </row>
    <row r="280" spans="1:7" ht="15" customHeight="1">
      <c r="A280" s="132"/>
      <c r="B280" s="132"/>
      <c r="C280" s="133"/>
      <c r="D280" s="132"/>
      <c r="E280" s="134"/>
      <c r="F280" s="135"/>
      <c r="G280" s="135"/>
    </row>
    <row r="281" spans="1:7" ht="15" customHeight="1">
      <c r="A281" s="132"/>
      <c r="B281" s="132"/>
      <c r="C281" s="133"/>
      <c r="D281" s="132"/>
      <c r="E281" s="134"/>
      <c r="F281" s="135"/>
      <c r="G281" s="135"/>
    </row>
    <row r="282" spans="1:7" ht="15" customHeight="1">
      <c r="A282" s="132"/>
      <c r="B282" s="132"/>
      <c r="C282" s="133"/>
      <c r="D282" s="132"/>
      <c r="E282" s="134"/>
      <c r="F282" s="135"/>
      <c r="G282" s="135"/>
    </row>
    <row r="283" spans="1:7" ht="15" customHeight="1">
      <c r="A283" s="132"/>
      <c r="B283" s="132"/>
      <c r="C283" s="133"/>
      <c r="D283" s="132"/>
      <c r="E283" s="134"/>
      <c r="F283" s="135"/>
      <c r="G283" s="135"/>
    </row>
    <row r="284" spans="1:7" ht="15" customHeight="1">
      <c r="A284" s="132"/>
      <c r="B284" s="132"/>
      <c r="C284" s="133"/>
      <c r="D284" s="132"/>
      <c r="E284" s="134"/>
      <c r="F284" s="135"/>
      <c r="G284" s="135"/>
    </row>
    <row r="285" spans="1:7" ht="15" customHeight="1">
      <c r="A285" s="132"/>
      <c r="B285" s="132"/>
      <c r="C285" s="133"/>
      <c r="D285" s="132"/>
      <c r="E285" s="134"/>
      <c r="F285" s="135"/>
      <c r="G285" s="135"/>
    </row>
    <row r="286" spans="1:7" ht="15" customHeight="1">
      <c r="A286" s="132"/>
      <c r="B286" s="132"/>
      <c r="C286" s="133"/>
      <c r="D286" s="132"/>
      <c r="E286" s="134"/>
      <c r="F286" s="135"/>
      <c r="G286" s="135"/>
    </row>
    <row r="287" spans="1:7" ht="15" customHeight="1">
      <c r="A287" s="132"/>
      <c r="B287" s="132"/>
      <c r="C287" s="133"/>
      <c r="D287" s="132"/>
      <c r="E287" s="134"/>
      <c r="F287" s="135"/>
      <c r="G287" s="135"/>
    </row>
    <row r="288" spans="1:7" ht="15" customHeight="1">
      <c r="A288" s="132"/>
      <c r="B288" s="132"/>
      <c r="C288" s="133"/>
      <c r="D288" s="132"/>
      <c r="E288" s="134"/>
      <c r="F288" s="135"/>
      <c r="G288" s="135"/>
    </row>
    <row r="289" spans="1:7" ht="15" customHeight="1">
      <c r="A289" s="132"/>
      <c r="B289" s="132"/>
      <c r="C289" s="133"/>
      <c r="D289" s="132"/>
      <c r="E289" s="134"/>
      <c r="F289" s="135"/>
      <c r="G289" s="135"/>
    </row>
    <row r="290" spans="1:7" ht="15" customHeight="1">
      <c r="A290" s="132"/>
      <c r="B290" s="132"/>
      <c r="C290" s="133"/>
      <c r="D290" s="132"/>
      <c r="E290" s="134"/>
      <c r="F290" s="135"/>
      <c r="G290" s="135"/>
    </row>
    <row r="291" spans="1:7" ht="15" customHeight="1">
      <c r="A291" s="132"/>
      <c r="B291" s="132"/>
      <c r="C291" s="133"/>
      <c r="D291" s="132"/>
      <c r="E291" s="134"/>
      <c r="F291" s="135"/>
      <c r="G291" s="135"/>
    </row>
    <row r="292" spans="1:7" ht="15" customHeight="1">
      <c r="A292" s="132"/>
      <c r="B292" s="132"/>
      <c r="C292" s="133"/>
      <c r="D292" s="132"/>
      <c r="E292" s="134"/>
      <c r="F292" s="135"/>
      <c r="G292" s="135"/>
    </row>
  </sheetData>
  <mergeCells count="4">
    <mergeCell ref="A1:G1"/>
    <mergeCell ref="A2:G2"/>
    <mergeCell ref="A3:G3"/>
    <mergeCell ref="A7:G7"/>
  </mergeCells>
  <phoneticPr fontId="35" type="noConversion"/>
  <printOptions horizontalCentered="1"/>
  <pageMargins left="0.51181102362204722" right="0.39370078740157483" top="0.51181102362204722" bottom="0.98425196850393704" header="0.15748031496062992" footer="0.78740157480314965"/>
  <pageSetup scale="65" orientation="portrait" r:id="rId1"/>
  <headerFooter alignWithMargins="0">
    <oddFooter>&amp;L&amp;9&amp;F&amp;Z&amp;R&amp;11&amp;Pde&amp;N</oddFooter>
  </headerFooter>
  <rowBreaks count="3" manualBreakCount="3">
    <brk id="41" max="6" man="1"/>
    <brk id="121" max="6" man="1"/>
    <brk id="166" max="6" man="1"/>
  </rowBreaks>
  <ignoredErrors>
    <ignoredError sqref="F36:F37 F63 F119 F117 F111:F112 F28:F31 F23:F26" emptyCellReference="1"/>
    <ignoredError sqref="F115" evalError="1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Hoja1"/>
  <dimension ref="A1:AD135"/>
  <sheetViews>
    <sheetView showGridLines="0" showZeros="0" topLeftCell="P115" zoomScale="70" zoomScaleNormal="70" workbookViewId="0">
      <selection activeCell="G100" sqref="G100"/>
    </sheetView>
  </sheetViews>
  <sheetFormatPr defaultColWidth="12.6640625" defaultRowHeight="15" customHeight="1"/>
  <cols>
    <col min="1" max="1" width="21.77734375" style="38" customWidth="1"/>
    <col min="2" max="2" width="9.77734375" style="1" customWidth="1"/>
    <col min="3" max="3" width="12.77734375" style="3" customWidth="1"/>
    <col min="4" max="4" width="13" style="2" customWidth="1"/>
    <col min="5" max="5" width="12.109375" style="3" customWidth="1"/>
    <col min="6" max="6" width="14.44140625" style="1" customWidth="1"/>
    <col min="7" max="7" width="13" style="1" customWidth="1"/>
    <col min="8" max="8" width="15.88671875" style="4" customWidth="1"/>
    <col min="9" max="9" width="9.33203125" style="39" customWidth="1"/>
    <col min="10" max="10" width="10.5546875" style="39" customWidth="1"/>
    <col min="11" max="11" width="9.33203125" style="39" customWidth="1"/>
    <col min="12" max="12" width="12.33203125" style="1" customWidth="1"/>
    <col min="13" max="13" width="13.77734375" style="1" customWidth="1"/>
    <col min="14" max="14" width="10.77734375" style="1" bestFit="1" customWidth="1"/>
    <col min="15" max="15" width="13.88671875" style="1" customWidth="1"/>
    <col min="16" max="16" width="13.6640625" style="1" customWidth="1"/>
    <col min="17" max="19" width="12.6640625" style="1"/>
    <col min="20" max="20" width="15.44140625" style="1" customWidth="1"/>
    <col min="21" max="21" width="16.6640625" style="1" customWidth="1"/>
    <col min="22" max="16384" width="12.6640625" style="1"/>
  </cols>
  <sheetData>
    <row r="1" spans="1:30" ht="15" customHeight="1" thickTop="1">
      <c r="A1" s="505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7"/>
      <c r="P1" s="505" t="s">
        <v>0</v>
      </c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7"/>
    </row>
    <row r="2" spans="1:30" ht="15" customHeight="1">
      <c r="A2" s="534" t="s">
        <v>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9"/>
      <c r="P2" s="534" t="s">
        <v>1</v>
      </c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9"/>
    </row>
    <row r="3" spans="1:30" ht="15" customHeight="1">
      <c r="A3" s="181"/>
      <c r="B3" s="182"/>
      <c r="C3" s="182"/>
      <c r="D3" s="183"/>
      <c r="E3" s="183"/>
      <c r="F3" s="183"/>
      <c r="G3" s="184"/>
      <c r="H3" s="185"/>
      <c r="I3" s="185"/>
      <c r="J3" s="184"/>
      <c r="K3" s="185"/>
      <c r="L3" s="185"/>
      <c r="M3" s="185"/>
      <c r="N3" s="184"/>
      <c r="O3" s="184"/>
      <c r="P3" s="181"/>
      <c r="Q3" s="182"/>
      <c r="R3" s="182"/>
      <c r="S3" s="183"/>
      <c r="T3" s="183"/>
      <c r="U3" s="183"/>
      <c r="V3" s="184"/>
      <c r="W3" s="185"/>
      <c r="X3" s="185"/>
      <c r="Y3" s="184"/>
      <c r="Z3" s="185"/>
      <c r="AA3" s="185"/>
      <c r="AB3" s="185"/>
      <c r="AC3" s="184"/>
      <c r="AD3" s="184"/>
    </row>
    <row r="4" spans="1:30" ht="15" customHeight="1" thickBot="1">
      <c r="A4" s="181"/>
      <c r="B4" s="182"/>
      <c r="C4" s="182"/>
      <c r="D4" s="183"/>
      <c r="E4" s="183"/>
      <c r="F4" s="183"/>
      <c r="G4" s="184"/>
      <c r="H4" s="185"/>
      <c r="I4" s="185"/>
      <c r="J4" s="184"/>
      <c r="K4" s="185"/>
      <c r="L4" s="185"/>
      <c r="M4" s="185"/>
      <c r="N4" s="184"/>
      <c r="O4" s="184"/>
      <c r="P4" s="181"/>
      <c r="Q4" s="182"/>
      <c r="R4" s="182"/>
      <c r="S4" s="183"/>
      <c r="T4" s="183"/>
      <c r="U4" s="183"/>
      <c r="V4" s="184"/>
      <c r="W4" s="185"/>
      <c r="X4" s="185"/>
      <c r="Y4" s="184"/>
      <c r="Z4" s="185"/>
      <c r="AA4" s="185"/>
      <c r="AB4" s="185"/>
      <c r="AC4" s="184"/>
      <c r="AD4" s="184"/>
    </row>
    <row r="5" spans="1:30" ht="23.25" customHeight="1" thickTop="1" thickBot="1">
      <c r="A5" s="186" t="s">
        <v>2</v>
      </c>
      <c r="B5" s="186" t="s">
        <v>3</v>
      </c>
      <c r="C5" s="187" t="s">
        <v>4</v>
      </c>
      <c r="D5" s="188" t="s">
        <v>5</v>
      </c>
      <c r="E5" s="188" t="s">
        <v>6</v>
      </c>
      <c r="F5" s="188" t="s">
        <v>7</v>
      </c>
      <c r="G5" s="188" t="s">
        <v>8</v>
      </c>
      <c r="H5" s="187" t="s">
        <v>9</v>
      </c>
      <c r="I5" s="187" t="s">
        <v>10</v>
      </c>
      <c r="J5" s="189" t="s">
        <v>11</v>
      </c>
      <c r="K5" s="190" t="s">
        <v>12</v>
      </c>
      <c r="L5" s="190" t="s">
        <v>13</v>
      </c>
      <c r="M5" s="191" t="s">
        <v>14</v>
      </c>
      <c r="N5" s="191" t="s">
        <v>15</v>
      </c>
      <c r="O5" s="191" t="s">
        <v>16</v>
      </c>
      <c r="P5" s="186" t="s">
        <v>2</v>
      </c>
      <c r="Q5" s="186" t="s">
        <v>3</v>
      </c>
      <c r="R5" s="187" t="s">
        <v>4</v>
      </c>
      <c r="S5" s="188" t="s">
        <v>5</v>
      </c>
      <c r="T5" s="188" t="s">
        <v>6</v>
      </c>
      <c r="U5" s="188" t="s">
        <v>7</v>
      </c>
      <c r="V5" s="188" t="s">
        <v>8</v>
      </c>
      <c r="W5" s="187" t="s">
        <v>9</v>
      </c>
      <c r="X5" s="187" t="s">
        <v>10</v>
      </c>
      <c r="Y5" s="189" t="s">
        <v>11</v>
      </c>
      <c r="Z5" s="190" t="s">
        <v>12</v>
      </c>
      <c r="AA5" s="190" t="s">
        <v>13</v>
      </c>
      <c r="AB5" s="191" t="s">
        <v>14</v>
      </c>
      <c r="AC5" s="191" t="s">
        <v>15</v>
      </c>
      <c r="AD5" s="191" t="s">
        <v>16</v>
      </c>
    </row>
    <row r="6" spans="1:30" ht="15" customHeight="1" thickTop="1">
      <c r="A6" s="535"/>
      <c r="B6" s="536"/>
      <c r="C6" s="536"/>
      <c r="D6" s="537"/>
      <c r="E6" s="537"/>
      <c r="F6" s="537"/>
      <c r="G6" s="537"/>
      <c r="H6" s="536"/>
      <c r="I6" s="536"/>
      <c r="J6" s="537"/>
      <c r="K6" s="536"/>
      <c r="L6" s="537"/>
      <c r="M6" s="537"/>
      <c r="N6" s="537"/>
      <c r="O6" s="537"/>
      <c r="P6" s="535"/>
      <c r="Q6" s="536"/>
      <c r="R6" s="536"/>
      <c r="S6" s="537"/>
      <c r="T6" s="537"/>
      <c r="U6" s="537"/>
      <c r="V6" s="537"/>
      <c r="W6" s="536"/>
      <c r="X6" s="536"/>
      <c r="Y6" s="537"/>
      <c r="Z6" s="536"/>
      <c r="AA6" s="537"/>
      <c r="AB6" s="537"/>
      <c r="AC6" s="537"/>
      <c r="AD6" s="537"/>
    </row>
    <row r="7" spans="1:30" ht="15" customHeight="1">
      <c r="A7" s="538">
        <v>1</v>
      </c>
      <c r="B7" s="536">
        <v>1.5</v>
      </c>
      <c r="C7" s="536" t="s">
        <v>17</v>
      </c>
      <c r="D7" s="539"/>
      <c r="E7" s="539">
        <v>0.6</v>
      </c>
      <c r="F7" s="539">
        <v>1.1499999999999999</v>
      </c>
      <c r="G7" s="539">
        <f>(((((B7*2.54)/100)*((B7*2.54)/100))*3.14)/4)*D7</f>
        <v>0</v>
      </c>
      <c r="H7" s="540">
        <v>1.009463</v>
      </c>
      <c r="I7" s="541">
        <f t="shared" ref="I7:X15" si="0">D7*H7</f>
        <v>0</v>
      </c>
      <c r="J7" s="539">
        <f t="shared" ref="J7:Y15" si="1">D7*E7*F7</f>
        <v>0</v>
      </c>
      <c r="K7" s="541">
        <f t="shared" ref="K7:Z15" si="2">D7*E7*0.1</f>
        <v>0</v>
      </c>
      <c r="L7" s="539">
        <f>J7-(G7+K7)</f>
        <v>0</v>
      </c>
      <c r="M7" s="539">
        <f t="shared" ref="M7:AB15" si="3">(D7*E7*(((B7*2.54)/100)+0.3)-G7)</f>
        <v>0</v>
      </c>
      <c r="N7" s="539">
        <f>(M7+K7)*1.3</f>
        <v>0</v>
      </c>
      <c r="O7" s="539">
        <f>(J7-L7)*1.3</f>
        <v>0</v>
      </c>
      <c r="P7" s="538">
        <v>1</v>
      </c>
      <c r="Q7" s="536">
        <v>1.5</v>
      </c>
      <c r="R7" s="536" t="s">
        <v>17</v>
      </c>
      <c r="S7" s="539"/>
      <c r="T7" s="539">
        <v>0.6</v>
      </c>
      <c r="U7" s="539">
        <v>1.1499999999999999</v>
      </c>
      <c r="V7" s="539">
        <f>(((((Q7*2.54)/100)*((Q7*2.54)/100))*3.14)/4)*S7</f>
        <v>0</v>
      </c>
      <c r="W7" s="540">
        <v>1.009463</v>
      </c>
      <c r="X7" s="541">
        <f t="shared" si="0"/>
        <v>0</v>
      </c>
      <c r="Y7" s="539">
        <f t="shared" si="1"/>
        <v>0</v>
      </c>
      <c r="Z7" s="541">
        <f t="shared" si="2"/>
        <v>0</v>
      </c>
      <c r="AA7" s="539">
        <f>Y7-(V7+Z7)</f>
        <v>0</v>
      </c>
      <c r="AB7" s="539">
        <f t="shared" si="3"/>
        <v>0</v>
      </c>
      <c r="AC7" s="539">
        <f>(AB7+Z7)*1.3</f>
        <v>0</v>
      </c>
      <c r="AD7" s="539">
        <f>(Y7-AA7)*1.3</f>
        <v>0</v>
      </c>
    </row>
    <row r="8" spans="1:30" ht="15" customHeight="1">
      <c r="A8" s="538">
        <f>+A7+1</f>
        <v>2</v>
      </c>
      <c r="B8" s="536">
        <v>2</v>
      </c>
      <c r="C8" s="536" t="s">
        <v>17</v>
      </c>
      <c r="D8" s="539"/>
      <c r="E8" s="539">
        <v>0.6</v>
      </c>
      <c r="F8" s="539">
        <v>1.1499999999999999</v>
      </c>
      <c r="G8" s="539">
        <f>(((((B8*2.54)/100)*((B8*2.54)/100))*3.14)/4)*D8</f>
        <v>0</v>
      </c>
      <c r="H8" s="540">
        <v>1.009463</v>
      </c>
      <c r="I8" s="541">
        <f>D8*H8</f>
        <v>0</v>
      </c>
      <c r="J8" s="539">
        <f>D8*E8*F8</f>
        <v>0</v>
      </c>
      <c r="K8" s="541">
        <f>D8*E8*0.1</f>
        <v>0</v>
      </c>
      <c r="L8" s="539">
        <f>J8-(G8+K8)</f>
        <v>0</v>
      </c>
      <c r="M8" s="539">
        <f>(D8*E8*(((B8*2.54)/100)+0.3)-G8)</f>
        <v>0</v>
      </c>
      <c r="N8" s="539">
        <f>(M8+K8)*1.3</f>
        <v>0</v>
      </c>
      <c r="O8" s="539">
        <f>(J8-L8)*1.3</f>
        <v>0</v>
      </c>
      <c r="P8" s="538">
        <f>+P7+1</f>
        <v>2</v>
      </c>
      <c r="Q8" s="536">
        <v>2</v>
      </c>
      <c r="R8" s="536" t="s">
        <v>17</v>
      </c>
      <c r="S8" s="539"/>
      <c r="T8" s="539">
        <v>0.6</v>
      </c>
      <c r="U8" s="539">
        <v>1.1499999999999999</v>
      </c>
      <c r="V8" s="539">
        <f>(((((Q8*2.54)/100)*((Q8*2.54)/100))*3.14)/4)*S8</f>
        <v>0</v>
      </c>
      <c r="W8" s="540">
        <v>1.009463</v>
      </c>
      <c r="X8" s="541">
        <f>S8*W8</f>
        <v>0</v>
      </c>
      <c r="Y8" s="539">
        <f>S8*T8*U8</f>
        <v>0</v>
      </c>
      <c r="Z8" s="541">
        <f>S8*T8*0.1</f>
        <v>0</v>
      </c>
      <c r="AA8" s="539">
        <f>Y8-(V8+Z8)</f>
        <v>0</v>
      </c>
      <c r="AB8" s="539">
        <f>(S8*T8*(((Q8*2.54)/100)+0.3)-V8)</f>
        <v>0</v>
      </c>
      <c r="AC8" s="539">
        <f>(AB8+Z8)*1.3</f>
        <v>0</v>
      </c>
      <c r="AD8" s="539">
        <f>(Y8-AA8)*1.3</f>
        <v>0</v>
      </c>
    </row>
    <row r="9" spans="1:30" ht="15" customHeight="1">
      <c r="A9" s="538">
        <f t="shared" ref="A9:P15" si="4">+A8+1</f>
        <v>3</v>
      </c>
      <c r="B9" s="536">
        <v>3</v>
      </c>
      <c r="C9" s="536" t="s">
        <v>17</v>
      </c>
      <c r="D9" s="539"/>
      <c r="E9" s="539">
        <v>0.6</v>
      </c>
      <c r="F9" s="539">
        <v>1.1499999999999999</v>
      </c>
      <c r="G9" s="539">
        <f t="shared" ref="G9:V15" si="5">(((((B9*2.54)/100)*((B9*2.54)/100))*3.14)/4)*D9</f>
        <v>0</v>
      </c>
      <c r="H9" s="540">
        <v>1.013727</v>
      </c>
      <c r="I9" s="541">
        <f t="shared" si="0"/>
        <v>0</v>
      </c>
      <c r="J9" s="539">
        <f t="shared" si="1"/>
        <v>0</v>
      </c>
      <c r="K9" s="541">
        <f t="shared" si="2"/>
        <v>0</v>
      </c>
      <c r="L9" s="539">
        <f t="shared" ref="L9:AA15" si="6">J9-(G9+K9)</f>
        <v>0</v>
      </c>
      <c r="M9" s="539">
        <f t="shared" si="3"/>
        <v>0</v>
      </c>
      <c r="N9" s="539">
        <f t="shared" ref="N9:AC15" si="7">(M9+K9)*1.3</f>
        <v>0</v>
      </c>
      <c r="O9" s="539">
        <f t="shared" ref="O9:AD15" si="8">(J9-L9)*1.3</f>
        <v>0</v>
      </c>
      <c r="P9" s="538">
        <f t="shared" si="4"/>
        <v>3</v>
      </c>
      <c r="Q9" s="536">
        <v>3</v>
      </c>
      <c r="R9" s="536" t="s">
        <v>17</v>
      </c>
      <c r="S9" s="539"/>
      <c r="T9" s="539">
        <v>0.6</v>
      </c>
      <c r="U9" s="539">
        <v>1.1499999999999999</v>
      </c>
      <c r="V9" s="539">
        <f t="shared" si="5"/>
        <v>0</v>
      </c>
      <c r="W9" s="540">
        <v>1.013727</v>
      </c>
      <c r="X9" s="541">
        <f t="shared" si="0"/>
        <v>0</v>
      </c>
      <c r="Y9" s="539">
        <f t="shared" si="1"/>
        <v>0</v>
      </c>
      <c r="Z9" s="541">
        <f t="shared" si="2"/>
        <v>0</v>
      </c>
      <c r="AA9" s="539">
        <f t="shared" si="6"/>
        <v>0</v>
      </c>
      <c r="AB9" s="539">
        <f t="shared" si="3"/>
        <v>0</v>
      </c>
      <c r="AC9" s="539">
        <f t="shared" si="7"/>
        <v>0</v>
      </c>
      <c r="AD9" s="539">
        <f t="shared" si="8"/>
        <v>0</v>
      </c>
    </row>
    <row r="10" spans="1:30" ht="27.75" customHeight="1">
      <c r="A10" s="538">
        <f t="shared" si="4"/>
        <v>4</v>
      </c>
      <c r="B10" s="536"/>
      <c r="C10" s="536" t="s">
        <v>17</v>
      </c>
      <c r="D10" s="539"/>
      <c r="E10" s="539">
        <v>5</v>
      </c>
      <c r="F10" s="539">
        <v>4</v>
      </c>
      <c r="G10" s="539">
        <f t="shared" si="5"/>
        <v>0</v>
      </c>
      <c r="H10" s="540">
        <v>1.013727</v>
      </c>
      <c r="I10" s="541">
        <f t="shared" si="0"/>
        <v>0</v>
      </c>
      <c r="J10" s="539">
        <f t="shared" si="1"/>
        <v>0</v>
      </c>
      <c r="K10" s="541">
        <f t="shared" si="2"/>
        <v>0</v>
      </c>
      <c r="L10" s="539">
        <f>+J10-(D10*3.1*2.65)</f>
        <v>0</v>
      </c>
      <c r="M10" s="539">
        <f t="shared" si="3"/>
        <v>0</v>
      </c>
      <c r="N10" s="539">
        <f t="shared" si="7"/>
        <v>0</v>
      </c>
      <c r="O10" s="539">
        <f t="shared" si="8"/>
        <v>0</v>
      </c>
      <c r="P10" s="538">
        <f t="shared" si="4"/>
        <v>4</v>
      </c>
      <c r="Q10" s="536">
        <v>4</v>
      </c>
      <c r="R10" s="536" t="s">
        <v>17</v>
      </c>
      <c r="S10" s="539"/>
      <c r="T10" s="539">
        <v>0.6</v>
      </c>
      <c r="U10" s="539">
        <v>1.2</v>
      </c>
      <c r="V10" s="539">
        <f t="shared" si="5"/>
        <v>0</v>
      </c>
      <c r="W10" s="540">
        <v>1.013727</v>
      </c>
      <c r="X10" s="541">
        <f t="shared" si="0"/>
        <v>0</v>
      </c>
      <c r="Y10" s="539">
        <f t="shared" si="1"/>
        <v>0</v>
      </c>
      <c r="Z10" s="541">
        <f t="shared" si="2"/>
        <v>0</v>
      </c>
      <c r="AA10" s="539">
        <f t="shared" si="6"/>
        <v>0</v>
      </c>
      <c r="AB10" s="539">
        <f t="shared" si="3"/>
        <v>0</v>
      </c>
      <c r="AC10" s="539">
        <f t="shared" si="7"/>
        <v>0</v>
      </c>
      <c r="AD10" s="539">
        <f t="shared" si="8"/>
        <v>0</v>
      </c>
    </row>
    <row r="11" spans="1:30" ht="21.75" customHeight="1">
      <c r="A11" s="538">
        <f t="shared" si="4"/>
        <v>5</v>
      </c>
      <c r="B11" s="536">
        <v>6</v>
      </c>
      <c r="C11" s="536" t="s">
        <v>17</v>
      </c>
      <c r="D11" s="539"/>
      <c r="E11" s="539">
        <v>0.7</v>
      </c>
      <c r="F11" s="539">
        <v>1.25</v>
      </c>
      <c r="G11" s="539">
        <f t="shared" si="5"/>
        <v>0</v>
      </c>
      <c r="H11" s="540">
        <v>1.016945</v>
      </c>
      <c r="I11" s="541">
        <f t="shared" si="0"/>
        <v>0</v>
      </c>
      <c r="J11" s="539">
        <f t="shared" si="1"/>
        <v>0</v>
      </c>
      <c r="K11" s="541">
        <f t="shared" si="2"/>
        <v>0</v>
      </c>
      <c r="L11" s="539">
        <f t="shared" si="6"/>
        <v>0</v>
      </c>
      <c r="M11" s="539">
        <f t="shared" si="3"/>
        <v>0</v>
      </c>
      <c r="N11" s="539">
        <f t="shared" si="7"/>
        <v>0</v>
      </c>
      <c r="O11" s="539">
        <f t="shared" si="8"/>
        <v>0</v>
      </c>
      <c r="P11" s="538">
        <f t="shared" si="4"/>
        <v>5</v>
      </c>
      <c r="Q11" s="536">
        <v>6</v>
      </c>
      <c r="R11" s="536" t="s">
        <v>17</v>
      </c>
      <c r="S11" s="539"/>
      <c r="T11" s="539">
        <v>0.7</v>
      </c>
      <c r="U11" s="539">
        <v>1.25</v>
      </c>
      <c r="V11" s="539">
        <f t="shared" si="5"/>
        <v>0</v>
      </c>
      <c r="W11" s="540">
        <v>1.016945</v>
      </c>
      <c r="X11" s="541">
        <f t="shared" si="0"/>
        <v>0</v>
      </c>
      <c r="Y11" s="539">
        <f t="shared" si="1"/>
        <v>0</v>
      </c>
      <c r="Z11" s="541">
        <f t="shared" si="2"/>
        <v>0</v>
      </c>
      <c r="AA11" s="539">
        <f t="shared" si="6"/>
        <v>0</v>
      </c>
      <c r="AB11" s="539">
        <f t="shared" si="3"/>
        <v>0</v>
      </c>
      <c r="AC11" s="539">
        <f t="shared" si="7"/>
        <v>0</v>
      </c>
      <c r="AD11" s="539">
        <f t="shared" si="8"/>
        <v>0</v>
      </c>
    </row>
    <row r="12" spans="1:30" ht="20.25" customHeight="1">
      <c r="A12" s="538">
        <f t="shared" si="4"/>
        <v>6</v>
      </c>
      <c r="B12" s="536">
        <v>8</v>
      </c>
      <c r="C12" s="536" t="s">
        <v>17</v>
      </c>
      <c r="D12" s="539"/>
      <c r="E12" s="539">
        <v>0.75</v>
      </c>
      <c r="F12" s="539">
        <v>1.3</v>
      </c>
      <c r="G12" s="539">
        <f t="shared" si="5"/>
        <v>0</v>
      </c>
      <c r="H12" s="540">
        <v>1.025641</v>
      </c>
      <c r="I12" s="541">
        <f t="shared" si="0"/>
        <v>0</v>
      </c>
      <c r="J12" s="539">
        <f t="shared" si="1"/>
        <v>0</v>
      </c>
      <c r="K12" s="541">
        <f t="shared" si="2"/>
        <v>0</v>
      </c>
      <c r="L12" s="539">
        <f t="shared" si="6"/>
        <v>0</v>
      </c>
      <c r="M12" s="539">
        <f t="shared" si="3"/>
        <v>0</v>
      </c>
      <c r="N12" s="539">
        <f t="shared" si="7"/>
        <v>0</v>
      </c>
      <c r="O12" s="539">
        <f t="shared" si="8"/>
        <v>0</v>
      </c>
      <c r="P12" s="538">
        <f t="shared" si="4"/>
        <v>6</v>
      </c>
      <c r="Q12" s="536">
        <v>8</v>
      </c>
      <c r="R12" s="536" t="s">
        <v>17</v>
      </c>
      <c r="S12" s="539">
        <v>105.11</v>
      </c>
      <c r="T12" s="539">
        <v>0.75</v>
      </c>
      <c r="U12" s="539">
        <v>1.3</v>
      </c>
      <c r="V12" s="539">
        <f t="shared" si="5"/>
        <v>3.41</v>
      </c>
      <c r="W12" s="540">
        <v>1.025641</v>
      </c>
      <c r="X12" s="541">
        <f t="shared" si="0"/>
        <v>107.81</v>
      </c>
      <c r="Y12" s="539">
        <f t="shared" si="1"/>
        <v>102.48</v>
      </c>
      <c r="Z12" s="541">
        <f t="shared" si="2"/>
        <v>7.88</v>
      </c>
      <c r="AA12" s="539">
        <f t="shared" si="6"/>
        <v>91.19</v>
      </c>
      <c r="AB12" s="539">
        <f t="shared" si="3"/>
        <v>36.26</v>
      </c>
      <c r="AC12" s="539">
        <f t="shared" si="7"/>
        <v>57.38</v>
      </c>
      <c r="AD12" s="539">
        <f t="shared" si="8"/>
        <v>14.68</v>
      </c>
    </row>
    <row r="13" spans="1:30" ht="15" customHeight="1">
      <c r="A13" s="538">
        <f t="shared" si="4"/>
        <v>7</v>
      </c>
      <c r="B13" s="536">
        <v>12</v>
      </c>
      <c r="C13" s="536" t="s">
        <v>17</v>
      </c>
      <c r="D13" s="539"/>
      <c r="E13" s="539">
        <v>0.85</v>
      </c>
      <c r="F13" s="539">
        <v>1.4</v>
      </c>
      <c r="G13" s="539">
        <f t="shared" si="5"/>
        <v>0</v>
      </c>
      <c r="H13" s="540">
        <v>1.0367170000000001</v>
      </c>
      <c r="I13" s="541">
        <f t="shared" si="0"/>
        <v>0</v>
      </c>
      <c r="J13" s="539">
        <f t="shared" si="1"/>
        <v>0</v>
      </c>
      <c r="K13" s="541">
        <f t="shared" si="2"/>
        <v>0</v>
      </c>
      <c r="L13" s="539">
        <f t="shared" si="6"/>
        <v>0</v>
      </c>
      <c r="M13" s="539">
        <f t="shared" si="3"/>
        <v>0</v>
      </c>
      <c r="N13" s="539">
        <f t="shared" si="7"/>
        <v>0</v>
      </c>
      <c r="O13" s="539">
        <f t="shared" si="8"/>
        <v>0</v>
      </c>
      <c r="P13" s="538">
        <f t="shared" si="4"/>
        <v>7</v>
      </c>
      <c r="Q13" s="536">
        <v>12</v>
      </c>
      <c r="R13" s="536" t="s">
        <v>17</v>
      </c>
      <c r="S13" s="539"/>
      <c r="T13" s="539">
        <v>0.85</v>
      </c>
      <c r="U13" s="539">
        <v>1.4</v>
      </c>
      <c r="V13" s="539">
        <f t="shared" si="5"/>
        <v>0</v>
      </c>
      <c r="W13" s="540">
        <v>1.0367170000000001</v>
      </c>
      <c r="X13" s="541">
        <f t="shared" si="0"/>
        <v>0</v>
      </c>
      <c r="Y13" s="539">
        <f t="shared" si="1"/>
        <v>0</v>
      </c>
      <c r="Z13" s="541">
        <f t="shared" si="2"/>
        <v>0</v>
      </c>
      <c r="AA13" s="539">
        <f t="shared" si="6"/>
        <v>0</v>
      </c>
      <c r="AB13" s="539">
        <f t="shared" si="3"/>
        <v>0</v>
      </c>
      <c r="AC13" s="539">
        <f t="shared" si="7"/>
        <v>0</v>
      </c>
      <c r="AD13" s="539">
        <f t="shared" si="8"/>
        <v>0</v>
      </c>
    </row>
    <row r="14" spans="1:30" ht="18" customHeight="1">
      <c r="A14" s="538">
        <f t="shared" si="4"/>
        <v>8</v>
      </c>
      <c r="B14" s="536">
        <v>16</v>
      </c>
      <c r="C14" s="536" t="s">
        <v>17</v>
      </c>
      <c r="D14" s="539"/>
      <c r="E14" s="539">
        <v>1</v>
      </c>
      <c r="F14" s="539">
        <v>1.5</v>
      </c>
      <c r="G14" s="539">
        <f t="shared" si="5"/>
        <v>0</v>
      </c>
      <c r="H14" s="540">
        <v>1.0434779999999999</v>
      </c>
      <c r="I14" s="541">
        <f t="shared" si="0"/>
        <v>0</v>
      </c>
      <c r="J14" s="539">
        <f t="shared" si="1"/>
        <v>0</v>
      </c>
      <c r="K14" s="541">
        <f t="shared" si="2"/>
        <v>0</v>
      </c>
      <c r="L14" s="539">
        <f t="shared" si="6"/>
        <v>0</v>
      </c>
      <c r="M14" s="539">
        <f t="shared" si="3"/>
        <v>0</v>
      </c>
      <c r="N14" s="539">
        <f t="shared" si="7"/>
        <v>0</v>
      </c>
      <c r="O14" s="539">
        <f t="shared" si="8"/>
        <v>0</v>
      </c>
      <c r="P14" s="538">
        <f t="shared" si="4"/>
        <v>8</v>
      </c>
      <c r="Q14" s="536">
        <v>16</v>
      </c>
      <c r="R14" s="536" t="s">
        <v>17</v>
      </c>
      <c r="S14" s="539"/>
      <c r="T14" s="539">
        <v>1</v>
      </c>
      <c r="U14" s="539">
        <v>1.5</v>
      </c>
      <c r="V14" s="539">
        <f t="shared" si="5"/>
        <v>0</v>
      </c>
      <c r="W14" s="540">
        <v>1.0434779999999999</v>
      </c>
      <c r="X14" s="541">
        <f t="shared" si="0"/>
        <v>0</v>
      </c>
      <c r="Y14" s="539">
        <f t="shared" si="1"/>
        <v>0</v>
      </c>
      <c r="Z14" s="541">
        <f t="shared" si="2"/>
        <v>0</v>
      </c>
      <c r="AA14" s="539">
        <f t="shared" si="6"/>
        <v>0</v>
      </c>
      <c r="AB14" s="539">
        <f t="shared" si="3"/>
        <v>0</v>
      </c>
      <c r="AC14" s="539">
        <f t="shared" si="7"/>
        <v>0</v>
      </c>
      <c r="AD14" s="539">
        <f t="shared" si="8"/>
        <v>0</v>
      </c>
    </row>
    <row r="15" spans="1:30" ht="15" customHeight="1">
      <c r="A15" s="538">
        <f t="shared" si="4"/>
        <v>9</v>
      </c>
      <c r="B15" s="536">
        <v>36</v>
      </c>
      <c r="C15" s="536" t="s">
        <v>17</v>
      </c>
      <c r="D15" s="539"/>
      <c r="E15" s="539">
        <v>1.55</v>
      </c>
      <c r="F15" s="539">
        <v>2.0499999999999998</v>
      </c>
      <c r="G15" s="539">
        <f t="shared" si="5"/>
        <v>0</v>
      </c>
      <c r="H15" s="540">
        <v>1.0526310000000001</v>
      </c>
      <c r="I15" s="541">
        <f t="shared" si="0"/>
        <v>0</v>
      </c>
      <c r="J15" s="539">
        <f t="shared" si="1"/>
        <v>0</v>
      </c>
      <c r="K15" s="541">
        <f t="shared" si="2"/>
        <v>0</v>
      </c>
      <c r="L15" s="539">
        <f t="shared" si="6"/>
        <v>0</v>
      </c>
      <c r="M15" s="539">
        <f t="shared" si="3"/>
        <v>0</v>
      </c>
      <c r="N15" s="539">
        <f t="shared" si="7"/>
        <v>0</v>
      </c>
      <c r="O15" s="539">
        <f t="shared" si="8"/>
        <v>0</v>
      </c>
      <c r="P15" s="538">
        <f t="shared" si="4"/>
        <v>9</v>
      </c>
      <c r="Q15" s="536">
        <v>36</v>
      </c>
      <c r="R15" s="536" t="s">
        <v>17</v>
      </c>
      <c r="S15" s="539"/>
      <c r="T15" s="539">
        <v>1.55</v>
      </c>
      <c r="U15" s="539">
        <v>2.0499999999999998</v>
      </c>
      <c r="V15" s="539">
        <f t="shared" si="5"/>
        <v>0</v>
      </c>
      <c r="W15" s="540">
        <v>1.0526310000000001</v>
      </c>
      <c r="X15" s="541">
        <f t="shared" si="0"/>
        <v>0</v>
      </c>
      <c r="Y15" s="539">
        <f t="shared" si="1"/>
        <v>0</v>
      </c>
      <c r="Z15" s="541">
        <f t="shared" si="2"/>
        <v>0</v>
      </c>
      <c r="AA15" s="539">
        <f t="shared" si="6"/>
        <v>0</v>
      </c>
      <c r="AB15" s="539">
        <f t="shared" si="3"/>
        <v>0</v>
      </c>
      <c r="AC15" s="539">
        <f t="shared" si="7"/>
        <v>0</v>
      </c>
      <c r="AD15" s="539">
        <f t="shared" si="8"/>
        <v>0</v>
      </c>
    </row>
    <row r="16" spans="1:30" ht="15" customHeight="1" thickBot="1">
      <c r="A16" s="542"/>
      <c r="B16" s="543"/>
      <c r="C16" s="536"/>
      <c r="D16" s="539"/>
      <c r="E16" s="539"/>
      <c r="F16" s="539"/>
      <c r="G16" s="539"/>
      <c r="H16" s="536"/>
      <c r="I16" s="541"/>
      <c r="J16" s="539"/>
      <c r="K16" s="541"/>
      <c r="L16" s="541"/>
      <c r="M16" s="539"/>
      <c r="N16" s="539"/>
      <c r="O16" s="539"/>
      <c r="P16" s="542"/>
      <c r="Q16" s="543"/>
      <c r="R16" s="536"/>
      <c r="S16" s="539"/>
      <c r="T16" s="539"/>
      <c r="U16" s="539"/>
      <c r="V16" s="539"/>
      <c r="W16" s="536"/>
      <c r="X16" s="541"/>
      <c r="Y16" s="539"/>
      <c r="Z16" s="541"/>
      <c r="AA16" s="541"/>
      <c r="AB16" s="539"/>
      <c r="AC16" s="539"/>
      <c r="AD16" s="539"/>
    </row>
    <row r="17" spans="1:30" ht="15.75" customHeight="1" thickTop="1" thickBot="1">
      <c r="A17" s="186"/>
      <c r="B17" s="186" t="s">
        <v>18</v>
      </c>
      <c r="C17" s="187"/>
      <c r="D17" s="188">
        <f>SUM(D7:D15)</f>
        <v>0</v>
      </c>
      <c r="E17" s="188"/>
      <c r="F17" s="188"/>
      <c r="G17" s="192"/>
      <c r="H17" s="192"/>
      <c r="I17" s="192"/>
      <c r="J17" s="188">
        <f t="shared" ref="J17:AD17" si="9">SUM(J7:J15)</f>
        <v>0</v>
      </c>
      <c r="K17" s="192">
        <f t="shared" si="9"/>
        <v>0</v>
      </c>
      <c r="L17" s="192">
        <f t="shared" si="9"/>
        <v>0</v>
      </c>
      <c r="M17" s="188">
        <f t="shared" si="9"/>
        <v>0</v>
      </c>
      <c r="N17" s="188">
        <f t="shared" si="9"/>
        <v>0</v>
      </c>
      <c r="O17" s="188">
        <f t="shared" si="9"/>
        <v>0</v>
      </c>
      <c r="P17" s="186"/>
      <c r="Q17" s="186" t="s">
        <v>18</v>
      </c>
      <c r="R17" s="187"/>
      <c r="S17" s="188">
        <f>SUM(S7:S15)</f>
        <v>105.11</v>
      </c>
      <c r="T17" s="188"/>
      <c r="U17" s="188"/>
      <c r="V17" s="192"/>
      <c r="W17" s="192"/>
      <c r="X17" s="192"/>
      <c r="Y17" s="188">
        <f t="shared" si="9"/>
        <v>102.48</v>
      </c>
      <c r="Z17" s="192">
        <f t="shared" si="9"/>
        <v>7.88</v>
      </c>
      <c r="AA17" s="192">
        <f t="shared" si="9"/>
        <v>91.19</v>
      </c>
      <c r="AB17" s="188">
        <f t="shared" si="9"/>
        <v>36.26</v>
      </c>
      <c r="AC17" s="188">
        <f t="shared" si="9"/>
        <v>57.38</v>
      </c>
      <c r="AD17" s="188">
        <f t="shared" si="9"/>
        <v>14.68</v>
      </c>
    </row>
    <row r="18" spans="1:30" ht="16.5" customHeight="1" thickTop="1">
      <c r="A18" s="181"/>
      <c r="B18" s="182"/>
      <c r="C18" s="182"/>
      <c r="D18" s="183"/>
      <c r="E18" s="183"/>
      <c r="F18" s="183"/>
      <c r="G18" s="184"/>
      <c r="H18" s="185"/>
      <c r="I18" s="185"/>
      <c r="J18" s="184"/>
      <c r="K18" s="185"/>
      <c r="L18" s="185"/>
      <c r="M18" s="185"/>
      <c r="N18" s="184"/>
      <c r="O18" s="184"/>
      <c r="P18" s="181"/>
      <c r="Q18" s="182"/>
      <c r="R18" s="182"/>
      <c r="S18" s="183"/>
      <c r="T18" s="183"/>
      <c r="U18" s="183"/>
      <c r="V18" s="184"/>
      <c r="W18" s="185"/>
      <c r="X18" s="185"/>
      <c r="Y18" s="184"/>
      <c r="Z18" s="185"/>
      <c r="AA18" s="185"/>
      <c r="AB18" s="185"/>
      <c r="AC18" s="184"/>
      <c r="AD18" s="184"/>
    </row>
    <row r="19" spans="1:30" ht="16.5" customHeight="1">
      <c r="A19" s="181"/>
      <c r="B19" s="182"/>
      <c r="C19" s="182"/>
      <c r="D19" s="183"/>
      <c r="E19" s="183"/>
      <c r="F19" s="183"/>
      <c r="G19" s="184"/>
      <c r="H19" s="185"/>
      <c r="I19" s="185"/>
      <c r="J19" s="184"/>
      <c r="K19" s="185"/>
      <c r="L19" s="185">
        <f>(J17-M17-K17)*1.2</f>
        <v>0</v>
      </c>
      <c r="M19" s="185"/>
      <c r="N19" s="184"/>
      <c r="O19" s="184"/>
      <c r="P19" s="181"/>
      <c r="Q19" s="182"/>
      <c r="R19" s="182"/>
      <c r="S19" s="183"/>
      <c r="T19" s="183"/>
      <c r="U19" s="183"/>
      <c r="V19" s="184"/>
      <c r="W19" s="185"/>
      <c r="X19" s="185"/>
      <c r="Y19" s="184"/>
      <c r="Z19" s="185"/>
      <c r="AA19" s="185">
        <f>(Y17-AB17-Z17)*1.2</f>
        <v>70.010000000000005</v>
      </c>
      <c r="AB19" s="185"/>
      <c r="AC19" s="184"/>
      <c r="AD19" s="184"/>
    </row>
    <row r="20" spans="1:30" ht="16.5" customHeight="1">
      <c r="A20" s="181"/>
      <c r="B20" s="193"/>
      <c r="C20" s="182"/>
      <c r="D20" s="183"/>
      <c r="E20" s="194"/>
      <c r="F20" s="183"/>
      <c r="G20" s="184"/>
      <c r="H20" s="185"/>
      <c r="I20" s="185"/>
      <c r="J20" s="184"/>
      <c r="K20" s="185"/>
      <c r="L20" s="185"/>
      <c r="M20" s="185"/>
      <c r="N20" s="184"/>
      <c r="O20" s="184"/>
      <c r="P20" s="181"/>
      <c r="Q20" s="193"/>
      <c r="R20" s="182"/>
      <c r="S20" s="183"/>
      <c r="T20" s="194"/>
      <c r="U20" s="183"/>
      <c r="V20" s="184"/>
      <c r="W20" s="185"/>
      <c r="X20" s="185"/>
      <c r="Y20" s="184"/>
      <c r="Z20" s="185"/>
      <c r="AA20" s="185"/>
      <c r="AB20" s="185"/>
      <c r="AC20" s="184"/>
      <c r="AD20" s="184"/>
    </row>
    <row r="21" spans="1:30" ht="16.5" customHeight="1">
      <c r="A21" s="195"/>
      <c r="B21" s="193"/>
      <c r="C21" s="182"/>
      <c r="D21" s="183"/>
      <c r="E21" s="196"/>
      <c r="F21" s="197"/>
      <c r="G21" s="184"/>
      <c r="H21" s="185"/>
      <c r="I21" s="185"/>
      <c r="J21" s="184"/>
      <c r="K21" s="185"/>
      <c r="L21" s="185"/>
      <c r="M21" s="185"/>
      <c r="N21" s="184"/>
      <c r="O21" s="184"/>
      <c r="P21" s="195"/>
      <c r="Q21" s="193"/>
      <c r="R21" s="182"/>
      <c r="S21" s="183"/>
      <c r="T21" s="196"/>
      <c r="U21" s="197"/>
      <c r="V21" s="184"/>
      <c r="W21" s="185"/>
      <c r="X21" s="185"/>
      <c r="Y21" s="184"/>
      <c r="Z21" s="185"/>
      <c r="AA21" s="185"/>
      <c r="AB21" s="185"/>
      <c r="AC21" s="184"/>
      <c r="AD21" s="184"/>
    </row>
    <row r="22" spans="1:30" ht="16.5" customHeight="1">
      <c r="A22" s="195"/>
      <c r="B22" s="193"/>
      <c r="C22" s="182"/>
      <c r="D22" s="183"/>
      <c r="E22" s="196"/>
      <c r="F22" s="197"/>
      <c r="G22" s="184"/>
      <c r="H22" s="185"/>
      <c r="I22" s="185"/>
      <c r="J22" s="184"/>
      <c r="K22" s="185"/>
      <c r="L22" s="185"/>
      <c r="M22" s="185"/>
      <c r="N22" s="184"/>
      <c r="O22" s="184"/>
      <c r="P22" s="195"/>
      <c r="Q22" s="193"/>
      <c r="R22" s="182"/>
      <c r="S22" s="183"/>
      <c r="T22" s="196"/>
      <c r="U22" s="197"/>
      <c r="V22" s="184"/>
      <c r="W22" s="185"/>
      <c r="X22" s="185"/>
      <c r="Y22" s="184"/>
      <c r="Z22" s="185"/>
      <c r="AA22" s="185"/>
      <c r="AB22" s="185"/>
      <c r="AC22" s="184"/>
      <c r="AD22" s="184"/>
    </row>
    <row r="23" spans="1:30" ht="16.5" customHeight="1" thickBot="1">
      <c r="A23" s="198"/>
      <c r="B23" s="193"/>
      <c r="C23" s="182"/>
      <c r="D23" s="183"/>
      <c r="E23" s="183"/>
      <c r="F23" s="183"/>
      <c r="G23" s="184"/>
      <c r="H23" s="185"/>
      <c r="I23" s="185"/>
      <c r="J23" s="184"/>
      <c r="K23" s="185"/>
      <c r="L23" s="185"/>
      <c r="M23" s="185"/>
      <c r="N23" s="184"/>
      <c r="O23" s="184"/>
      <c r="P23" s="198"/>
      <c r="Q23" s="193"/>
      <c r="R23" s="182"/>
      <c r="S23" s="183"/>
      <c r="T23" s="183"/>
      <c r="U23" s="183"/>
      <c r="V23" s="184"/>
      <c r="W23" s="185"/>
      <c r="X23" s="185"/>
      <c r="Y23" s="184"/>
      <c r="Z23" s="185"/>
      <c r="AA23" s="185"/>
      <c r="AB23" s="185"/>
      <c r="AC23" s="184"/>
      <c r="AD23" s="184"/>
    </row>
    <row r="24" spans="1:30" ht="16.5" customHeight="1" thickTop="1">
      <c r="A24" s="181"/>
      <c r="B24" s="193"/>
      <c r="C24" s="182"/>
      <c r="D24" s="183"/>
      <c r="E24" s="183"/>
      <c r="F24" s="183"/>
      <c r="G24" s="184"/>
      <c r="H24" s="185"/>
      <c r="I24" s="185"/>
      <c r="J24" s="510" t="s">
        <v>19</v>
      </c>
      <c r="K24" s="511"/>
      <c r="L24" s="511"/>
      <c r="M24" s="511"/>
      <c r="N24" s="511"/>
      <c r="O24" s="512"/>
      <c r="P24" s="181"/>
      <c r="Q24" s="193"/>
      <c r="R24" s="182"/>
      <c r="S24" s="183"/>
      <c r="T24" s="183"/>
      <c r="U24" s="183"/>
      <c r="V24" s="184"/>
      <c r="W24" s="185"/>
      <c r="X24" s="185"/>
      <c r="Y24" s="510" t="s">
        <v>19</v>
      </c>
      <c r="Z24" s="511"/>
      <c r="AA24" s="511"/>
      <c r="AB24" s="511"/>
      <c r="AC24" s="511"/>
      <c r="AD24" s="512"/>
    </row>
    <row r="25" spans="1:30" ht="16.5" customHeight="1" thickBot="1">
      <c r="A25" s="181"/>
      <c r="B25" s="182"/>
      <c r="C25" s="182"/>
      <c r="D25" s="183"/>
      <c r="E25" s="183"/>
      <c r="F25" s="183"/>
      <c r="G25" s="184"/>
      <c r="H25" s="185"/>
      <c r="I25" s="185"/>
      <c r="J25" s="184"/>
      <c r="K25" s="185"/>
      <c r="L25" s="185"/>
      <c r="M25" s="185"/>
      <c r="N25" s="184"/>
      <c r="O25" s="184"/>
      <c r="P25" s="181"/>
      <c r="Q25" s="182"/>
      <c r="R25" s="182"/>
      <c r="S25" s="183"/>
      <c r="T25" s="183"/>
      <c r="U25" s="183"/>
      <c r="V25" s="184"/>
      <c r="W25" s="185"/>
      <c r="X25" s="185"/>
      <c r="Y25" s="184"/>
      <c r="Z25" s="185"/>
      <c r="AA25" s="185"/>
      <c r="AB25" s="185"/>
      <c r="AC25" s="184"/>
      <c r="AD25" s="184"/>
    </row>
    <row r="26" spans="1:30" ht="16.5" customHeight="1" thickTop="1" thickBot="1">
      <c r="A26" s="199"/>
      <c r="B26" s="185"/>
      <c r="C26" s="513" t="s">
        <v>20</v>
      </c>
      <c r="D26" s="514"/>
      <c r="E26" s="515"/>
      <c r="F26" s="183"/>
      <c r="G26" s="184"/>
      <c r="H26" s="185"/>
      <c r="I26" s="200" t="s">
        <v>21</v>
      </c>
      <c r="J26" s="201" t="s">
        <v>11</v>
      </c>
      <c r="K26" s="202" t="s">
        <v>12</v>
      </c>
      <c r="L26" s="203" t="s">
        <v>13</v>
      </c>
      <c r="M26" s="204" t="s">
        <v>14</v>
      </c>
      <c r="N26" s="191" t="s">
        <v>15</v>
      </c>
      <c r="O26" s="191" t="s">
        <v>16</v>
      </c>
      <c r="P26" s="191" t="s">
        <v>22</v>
      </c>
      <c r="Q26" s="185"/>
      <c r="R26" s="513" t="s">
        <v>20</v>
      </c>
      <c r="S26" s="514"/>
      <c r="T26" s="515"/>
      <c r="U26" s="183"/>
      <c r="V26" s="184"/>
      <c r="W26" s="185"/>
      <c r="X26" s="200" t="s">
        <v>21</v>
      </c>
      <c r="Y26" s="201" t="s">
        <v>11</v>
      </c>
      <c r="Z26" s="202" t="s">
        <v>12</v>
      </c>
      <c r="AA26" s="203" t="s">
        <v>13</v>
      </c>
      <c r="AB26" s="204" t="s">
        <v>14</v>
      </c>
      <c r="AC26" s="191" t="s">
        <v>15</v>
      </c>
      <c r="AD26" s="191" t="s">
        <v>16</v>
      </c>
    </row>
    <row r="27" spans="1:30" ht="16.5" customHeight="1" thickTop="1" thickBot="1">
      <c r="A27" s="181"/>
      <c r="B27" s="185"/>
      <c r="C27" s="185"/>
      <c r="D27" s="205">
        <f>+D17</f>
        <v>0</v>
      </c>
      <c r="E27" s="184"/>
      <c r="F27" s="183"/>
      <c r="G27" s="184"/>
      <c r="H27" s="185"/>
      <c r="I27" s="201"/>
      <c r="J27" s="206">
        <f t="shared" ref="J27:AD27" si="10">+J17</f>
        <v>0</v>
      </c>
      <c r="K27" s="207">
        <f t="shared" si="10"/>
        <v>0</v>
      </c>
      <c r="L27" s="208">
        <f t="shared" si="10"/>
        <v>0</v>
      </c>
      <c r="M27" s="207">
        <f t="shared" si="10"/>
        <v>0</v>
      </c>
      <c r="N27" s="208">
        <f>+J27-L27</f>
        <v>0</v>
      </c>
      <c r="O27" s="204">
        <f t="shared" si="10"/>
        <v>0</v>
      </c>
      <c r="P27" s="204">
        <f>+D10*E10*0.5</f>
        <v>0</v>
      </c>
      <c r="Q27" s="185"/>
      <c r="R27" s="185"/>
      <c r="S27" s="205">
        <f>+S17</f>
        <v>105.11</v>
      </c>
      <c r="T27" s="184"/>
      <c r="U27" s="183"/>
      <c r="V27" s="184"/>
      <c r="W27" s="185"/>
      <c r="X27" s="201"/>
      <c r="Y27" s="206">
        <f t="shared" si="10"/>
        <v>102.48</v>
      </c>
      <c r="Z27" s="207">
        <f t="shared" si="10"/>
        <v>7.88</v>
      </c>
      <c r="AA27" s="208">
        <f t="shared" si="10"/>
        <v>91.19</v>
      </c>
      <c r="AB27" s="207">
        <f t="shared" si="10"/>
        <v>36.26</v>
      </c>
      <c r="AC27" s="208">
        <f t="shared" si="10"/>
        <v>57.38</v>
      </c>
      <c r="AD27" s="204">
        <f t="shared" si="10"/>
        <v>14.68</v>
      </c>
    </row>
    <row r="28" spans="1:30" ht="16.5" customHeight="1" thickTop="1" thickBot="1">
      <c r="A28" s="181"/>
      <c r="B28" s="185"/>
      <c r="C28" s="185"/>
      <c r="D28" s="209"/>
      <c r="E28" s="184"/>
      <c r="F28" s="183"/>
      <c r="G28" s="184"/>
      <c r="H28" s="185"/>
      <c r="I28" s="210"/>
      <c r="J28" s="211"/>
      <c r="K28" s="209"/>
      <c r="L28" s="209"/>
      <c r="M28" s="209"/>
      <c r="N28" s="209"/>
      <c r="O28" s="209"/>
      <c r="P28" s="181"/>
      <c r="Q28" s="185"/>
      <c r="R28" s="185"/>
      <c r="S28" s="209"/>
      <c r="T28" s="184"/>
      <c r="U28" s="183"/>
      <c r="V28" s="184"/>
      <c r="W28" s="185"/>
      <c r="X28" s="210"/>
      <c r="Y28" s="211"/>
      <c r="Z28" s="209"/>
      <c r="AA28" s="209"/>
      <c r="AB28" s="209"/>
      <c r="AC28" s="209"/>
      <c r="AD28" s="209"/>
    </row>
    <row r="29" spans="1:30" ht="16.5" customHeight="1" thickTop="1" thickBot="1">
      <c r="A29" s="91"/>
      <c r="B29" s="61"/>
      <c r="C29" s="92"/>
      <c r="D29" s="93"/>
      <c r="E29" s="92"/>
      <c r="F29" s="61"/>
      <c r="G29" s="61"/>
      <c r="H29" s="212"/>
      <c r="I29" s="206">
        <v>90</v>
      </c>
      <c r="J29" s="206">
        <f>J27*I29%</f>
        <v>0</v>
      </c>
      <c r="K29" s="212"/>
      <c r="L29" s="61"/>
      <c r="M29" s="61"/>
      <c r="N29" s="61"/>
      <c r="O29" s="61"/>
      <c r="P29" s="91"/>
      <c r="Q29" s="61"/>
      <c r="R29" s="92"/>
      <c r="S29" s="93"/>
      <c r="T29" s="92"/>
      <c r="U29" s="61"/>
      <c r="V29" s="61"/>
      <c r="W29" s="212"/>
      <c r="X29" s="206">
        <v>90</v>
      </c>
      <c r="Y29" s="206">
        <f>Y27*X29%</f>
        <v>92.23</v>
      </c>
      <c r="Z29" s="212"/>
      <c r="AA29" s="61"/>
      <c r="AB29" s="61"/>
      <c r="AC29" s="61"/>
      <c r="AD29" s="61"/>
    </row>
    <row r="30" spans="1:30" ht="16.5" customHeight="1" thickTop="1" thickBot="1">
      <c r="A30" s="91"/>
      <c r="B30" s="61"/>
      <c r="C30" s="92"/>
      <c r="D30" s="93"/>
      <c r="E30" s="92"/>
      <c r="F30" s="61"/>
      <c r="G30" s="61"/>
      <c r="H30" s="212"/>
      <c r="I30" s="206">
        <v>80</v>
      </c>
      <c r="J30" s="206">
        <f>J27*I30%</f>
        <v>0</v>
      </c>
      <c r="K30" s="212"/>
      <c r="L30" s="61"/>
      <c r="M30" s="61"/>
      <c r="N30" s="61"/>
      <c r="O30" s="61"/>
      <c r="P30" s="91"/>
      <c r="Q30" s="61"/>
      <c r="R30" s="92"/>
      <c r="S30" s="93"/>
      <c r="T30" s="92"/>
      <c r="U30" s="61"/>
      <c r="V30" s="61"/>
      <c r="W30" s="212"/>
      <c r="X30" s="206">
        <v>80</v>
      </c>
      <c r="Y30" s="206">
        <f>Y27*X30%</f>
        <v>81.98</v>
      </c>
      <c r="Z30" s="212"/>
      <c r="AA30" s="61"/>
      <c r="AB30" s="61"/>
      <c r="AC30" s="61"/>
      <c r="AD30" s="61"/>
    </row>
    <row r="31" spans="1:30" ht="16.5" customHeight="1" thickTop="1" thickBot="1">
      <c r="A31" s="91"/>
      <c r="B31" s="61"/>
      <c r="C31" s="92"/>
      <c r="D31" s="93"/>
      <c r="E31" s="92"/>
      <c r="F31" s="61"/>
      <c r="G31" s="61"/>
      <c r="H31" s="212"/>
      <c r="I31" s="206">
        <v>70</v>
      </c>
      <c r="J31" s="206">
        <f>J27*I31%</f>
        <v>0</v>
      </c>
      <c r="K31" s="212"/>
      <c r="L31" s="61"/>
      <c r="M31" s="61"/>
      <c r="N31" s="61"/>
      <c r="O31" s="61"/>
      <c r="P31" s="91"/>
      <c r="Q31" s="61"/>
      <c r="R31" s="92"/>
      <c r="S31" s="93"/>
      <c r="T31" s="92"/>
      <c r="U31" s="61"/>
      <c r="V31" s="61"/>
      <c r="W31" s="212"/>
      <c r="X31" s="206">
        <v>70</v>
      </c>
      <c r="Y31" s="206">
        <f>Y27*X31%</f>
        <v>71.739999999999995</v>
      </c>
      <c r="Z31" s="212"/>
      <c r="AA31" s="61"/>
      <c r="AB31" s="61"/>
      <c r="AC31" s="61"/>
      <c r="AD31" s="61"/>
    </row>
    <row r="32" spans="1:30" ht="16.5" customHeight="1" thickTop="1" thickBot="1">
      <c r="A32" s="91"/>
      <c r="B32" s="61"/>
      <c r="C32" s="92"/>
      <c r="D32" s="93"/>
      <c r="E32" s="92"/>
      <c r="F32" s="61"/>
      <c r="G32" s="61"/>
      <c r="H32" s="212"/>
      <c r="I32" s="206">
        <v>60</v>
      </c>
      <c r="J32" s="206">
        <f>J27*I32%</f>
        <v>0</v>
      </c>
      <c r="K32" s="212"/>
      <c r="L32" s="61"/>
      <c r="M32" s="61"/>
      <c r="N32" s="61"/>
      <c r="O32" s="61"/>
      <c r="P32" s="91"/>
      <c r="Q32" s="61"/>
      <c r="R32" s="92"/>
      <c r="S32" s="93"/>
      <c r="T32" s="92"/>
      <c r="U32" s="61"/>
      <c r="V32" s="61"/>
      <c r="W32" s="212"/>
      <c r="X32" s="206">
        <v>60</v>
      </c>
      <c r="Y32" s="206">
        <f>Y27*X32%</f>
        <v>61.49</v>
      </c>
      <c r="Z32" s="212"/>
      <c r="AA32" s="61"/>
      <c r="AB32" s="61"/>
      <c r="AC32" s="61"/>
      <c r="AD32" s="61"/>
    </row>
    <row r="33" spans="1:30" ht="16.5" customHeight="1" thickTop="1" thickBot="1">
      <c r="A33" s="91"/>
      <c r="B33" s="61"/>
      <c r="C33" s="92"/>
      <c r="D33" s="93"/>
      <c r="E33" s="92"/>
      <c r="F33" s="61"/>
      <c r="G33" s="61"/>
      <c r="H33" s="212"/>
      <c r="I33" s="206">
        <v>50</v>
      </c>
      <c r="J33" s="206">
        <f>J27*I33%</f>
        <v>0</v>
      </c>
      <c r="K33" s="212"/>
      <c r="L33" s="61"/>
      <c r="M33" s="61"/>
      <c r="N33" s="61"/>
      <c r="O33" s="61"/>
      <c r="P33" s="91"/>
      <c r="Q33" s="61"/>
      <c r="R33" s="92"/>
      <c r="S33" s="93"/>
      <c r="T33" s="92"/>
      <c r="U33" s="61"/>
      <c r="V33" s="61"/>
      <c r="W33" s="212"/>
      <c r="X33" s="206">
        <v>50</v>
      </c>
      <c r="Y33" s="206">
        <f>Y27*X33%</f>
        <v>51.24</v>
      </c>
      <c r="Z33" s="212"/>
      <c r="AA33" s="61"/>
      <c r="AB33" s="61"/>
      <c r="AC33" s="61"/>
      <c r="AD33" s="61"/>
    </row>
    <row r="34" spans="1:30" ht="16.5" customHeight="1" thickTop="1" thickBot="1">
      <c r="A34" s="91"/>
      <c r="B34" s="61"/>
      <c r="C34" s="92"/>
      <c r="D34" s="93"/>
      <c r="E34" s="92"/>
      <c r="F34" s="61"/>
      <c r="G34" s="61"/>
      <c r="H34" s="212"/>
      <c r="I34" s="206">
        <v>40</v>
      </c>
      <c r="J34" s="206">
        <f>J27*I34%</f>
        <v>0</v>
      </c>
      <c r="K34" s="212"/>
      <c r="L34" s="61"/>
      <c r="M34" s="61"/>
      <c r="N34" s="61"/>
      <c r="O34" s="61"/>
      <c r="P34" s="91"/>
      <c r="Q34" s="61"/>
      <c r="R34" s="92"/>
      <c r="S34" s="93"/>
      <c r="T34" s="92"/>
      <c r="U34" s="61"/>
      <c r="V34" s="61"/>
      <c r="W34" s="212"/>
      <c r="X34" s="206">
        <v>40</v>
      </c>
      <c r="Y34" s="206">
        <f>Y27*X34%</f>
        <v>40.99</v>
      </c>
      <c r="Z34" s="212"/>
      <c r="AA34" s="61"/>
      <c r="AB34" s="61"/>
      <c r="AC34" s="61"/>
      <c r="AD34" s="61"/>
    </row>
    <row r="35" spans="1:30" ht="16.5" customHeight="1" thickTop="1" thickBot="1">
      <c r="A35" s="91"/>
      <c r="B35" s="61"/>
      <c r="C35" s="92"/>
      <c r="D35" s="93"/>
      <c r="E35" s="92"/>
      <c r="F35" s="61"/>
      <c r="G35" s="61"/>
      <c r="H35" s="212"/>
      <c r="I35" s="206">
        <v>30</v>
      </c>
      <c r="J35" s="206">
        <f>J27*I35%</f>
        <v>0</v>
      </c>
      <c r="K35" s="212"/>
      <c r="L35" s="61"/>
      <c r="M35" s="61"/>
      <c r="N35" s="61"/>
      <c r="O35" s="61"/>
      <c r="P35" s="91"/>
      <c r="Q35" s="61"/>
      <c r="R35" s="92"/>
      <c r="S35" s="93"/>
      <c r="T35" s="92"/>
      <c r="U35" s="61"/>
      <c r="V35" s="61"/>
      <c r="W35" s="212"/>
      <c r="X35" s="206">
        <v>30</v>
      </c>
      <c r="Y35" s="206">
        <f>Y27*X35%</f>
        <v>30.74</v>
      </c>
      <c r="Z35" s="212"/>
      <c r="AA35" s="61"/>
      <c r="AB35" s="61"/>
      <c r="AC35" s="61"/>
      <c r="AD35" s="61"/>
    </row>
    <row r="36" spans="1:30" ht="16.5" customHeight="1" thickTop="1" thickBot="1">
      <c r="A36" s="91"/>
      <c r="B36" s="61"/>
      <c r="C36" s="92"/>
      <c r="D36" s="93"/>
      <c r="E36" s="92"/>
      <c r="F36" s="61"/>
      <c r="G36" s="61"/>
      <c r="H36" s="212"/>
      <c r="I36" s="206">
        <v>20</v>
      </c>
      <c r="J36" s="206">
        <f>J27*I36%</f>
        <v>0</v>
      </c>
      <c r="K36" s="212"/>
      <c r="L36" s="61"/>
      <c r="M36" s="61"/>
      <c r="N36" s="61"/>
      <c r="O36" s="61"/>
      <c r="P36" s="91"/>
      <c r="Q36" s="61"/>
      <c r="R36" s="92"/>
      <c r="S36" s="93"/>
      <c r="T36" s="92"/>
      <c r="U36" s="61"/>
      <c r="V36" s="61"/>
      <c r="W36" s="212"/>
      <c r="X36" s="206">
        <v>20</v>
      </c>
      <c r="Y36" s="206">
        <f>Y27*X36%</f>
        <v>20.5</v>
      </c>
      <c r="Z36" s="212"/>
      <c r="AA36" s="61"/>
      <c r="AB36" s="61"/>
      <c r="AC36" s="61"/>
      <c r="AD36" s="61"/>
    </row>
    <row r="37" spans="1:30" ht="16.5" customHeight="1" thickTop="1" thickBot="1">
      <c r="A37" s="91"/>
      <c r="B37" s="61"/>
      <c r="C37" s="92"/>
      <c r="D37" s="93"/>
      <c r="E37" s="92"/>
      <c r="F37" s="61"/>
      <c r="G37" s="61"/>
      <c r="H37" s="212"/>
      <c r="I37" s="206">
        <v>10</v>
      </c>
      <c r="J37" s="206">
        <f>J27*I37%</f>
        <v>0</v>
      </c>
      <c r="K37" s="212"/>
      <c r="L37" s="61"/>
      <c r="M37" s="61"/>
      <c r="N37" s="61"/>
      <c r="O37" s="61"/>
      <c r="P37" s="91"/>
      <c r="Q37" s="61"/>
      <c r="R37" s="92"/>
      <c r="S37" s="93"/>
      <c r="T37" s="92"/>
      <c r="U37" s="61"/>
      <c r="V37" s="61"/>
      <c r="W37" s="212"/>
      <c r="X37" s="206">
        <v>10</v>
      </c>
      <c r="Y37" s="206">
        <f>Y27*X37%</f>
        <v>10.25</v>
      </c>
      <c r="Z37" s="212"/>
      <c r="AA37" s="61"/>
      <c r="AB37" s="61"/>
      <c r="AC37" s="61"/>
      <c r="AD37" s="61"/>
    </row>
    <row r="38" spans="1:30" ht="16.5" customHeight="1" thickTop="1">
      <c r="A38" s="516"/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6.5" customHeight="1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6.5" customHeight="1">
      <c r="A40" s="544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 ht="16.5" customHeight="1">
      <c r="A41" s="545"/>
      <c r="B41" s="546"/>
      <c r="C41" s="546"/>
      <c r="D41" s="546"/>
      <c r="E41" s="546"/>
      <c r="F41" s="546"/>
      <c r="G41" s="546"/>
      <c r="H41" s="547"/>
      <c r="I41" s="548"/>
      <c r="J41" s="548"/>
      <c r="K41" s="548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 ht="16.5" customHeight="1">
      <c r="A42" s="549"/>
      <c r="B42" s="54"/>
      <c r="C42" s="550"/>
      <c r="D42" s="546"/>
      <c r="E42" s="550"/>
      <c r="F42" s="54"/>
      <c r="G42" s="54"/>
      <c r="H42" s="547"/>
      <c r="I42" s="548"/>
      <c r="J42" s="548"/>
      <c r="K42" s="548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ht="16.5" customHeight="1">
      <c r="A43" s="549"/>
      <c r="B43" s="54"/>
      <c r="C43" s="550"/>
      <c r="D43" s="546"/>
      <c r="E43" s="550"/>
      <c r="F43" s="54"/>
      <c r="G43" s="54"/>
      <c r="H43" s="547"/>
      <c r="I43" s="548"/>
      <c r="J43" s="548"/>
      <c r="K43" s="548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ht="16.5" customHeight="1">
      <c r="A44" s="549"/>
      <c r="B44" s="54"/>
      <c r="C44" s="550"/>
      <c r="D44" s="546"/>
      <c r="E44" s="550"/>
      <c r="F44" s="54"/>
      <c r="G44" s="54"/>
      <c r="H44" s="547"/>
      <c r="I44" s="548"/>
      <c r="J44" s="548"/>
      <c r="K44" s="548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ht="16.5" customHeight="1">
      <c r="A45" s="549"/>
      <c r="B45" s="54"/>
      <c r="C45" s="550"/>
      <c r="D45" s="546"/>
      <c r="E45" s="550"/>
      <c r="F45" s="54"/>
      <c r="G45" s="54"/>
      <c r="H45" s="547"/>
      <c r="I45" s="548"/>
      <c r="J45" s="548"/>
      <c r="K45" s="548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ht="16.5" customHeight="1">
      <c r="A46" s="549"/>
      <c r="B46" s="54"/>
      <c r="C46" s="550"/>
      <c r="D46" s="546"/>
      <c r="E46" s="550"/>
      <c r="F46" s="54"/>
      <c r="G46" s="54"/>
      <c r="H46" s="547"/>
      <c r="I46" s="548"/>
      <c r="J46" s="548"/>
      <c r="K46" s="548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18.75" customHeight="1">
      <c r="A47" s="549"/>
      <c r="B47" s="54"/>
      <c r="C47" s="550"/>
      <c r="D47" s="546"/>
      <c r="E47" s="550"/>
      <c r="F47" s="54"/>
      <c r="G47" s="54"/>
      <c r="H47" s="547"/>
      <c r="I47" s="548"/>
      <c r="J47" s="548"/>
      <c r="K47" s="548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 ht="18.75" customHeight="1">
      <c r="A48" s="500" t="s">
        <v>0</v>
      </c>
      <c r="B48" s="500"/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"/>
      <c r="S48" s="4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s="54" customFormat="1" ht="18.75" customHeight="1">
      <c r="A49" s="500" t="s">
        <v>23</v>
      </c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"/>
      <c r="S49" s="43"/>
    </row>
    <row r="50" spans="1:30" ht="18.75" customHeight="1" thickBot="1">
      <c r="A50" s="44"/>
      <c r="B50" s="45"/>
      <c r="C50" s="45"/>
      <c r="D50" s="43"/>
      <c r="E50" s="43"/>
      <c r="F50" s="43"/>
      <c r="G50" s="43"/>
      <c r="H50" s="45"/>
      <c r="I50" s="45"/>
      <c r="J50" s="46"/>
      <c r="K50" s="45"/>
      <c r="L50" s="45"/>
      <c r="M50" s="45"/>
      <c r="N50" s="43"/>
      <c r="O50" s="43"/>
      <c r="P50" s="43"/>
      <c r="Q50" s="43"/>
      <c r="R50" s="43"/>
      <c r="S50" s="4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ht="27.75" customHeight="1" thickTop="1" thickBot="1">
      <c r="A51" s="35" t="s">
        <v>24</v>
      </c>
      <c r="B51" s="6" t="s">
        <v>3</v>
      </c>
      <c r="C51" s="7" t="s">
        <v>4</v>
      </c>
      <c r="D51" s="8" t="s">
        <v>5</v>
      </c>
      <c r="E51" s="8" t="s">
        <v>25</v>
      </c>
      <c r="F51" s="8" t="s">
        <v>26</v>
      </c>
      <c r="G51" s="8" t="s">
        <v>27</v>
      </c>
      <c r="H51" s="7" t="s">
        <v>28</v>
      </c>
      <c r="I51" s="7" t="s">
        <v>29</v>
      </c>
      <c r="J51" s="40" t="s">
        <v>30</v>
      </c>
      <c r="K51" s="7" t="s">
        <v>31</v>
      </c>
      <c r="L51" s="7" t="s">
        <v>6</v>
      </c>
      <c r="M51" s="551" t="s">
        <v>11</v>
      </c>
      <c r="N51" s="552" t="s">
        <v>12</v>
      </c>
      <c r="O51" s="552" t="s">
        <v>32</v>
      </c>
      <c r="P51" s="553" t="s">
        <v>33</v>
      </c>
      <c r="Q51" s="554" t="s">
        <v>34</v>
      </c>
      <c r="R51" s="554" t="s">
        <v>35</v>
      </c>
      <c r="S51" s="554" t="s">
        <v>36</v>
      </c>
      <c r="T51" s="554" t="s">
        <v>37</v>
      </c>
      <c r="U51" s="554" t="s">
        <v>38</v>
      </c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30" customHeight="1" thickTop="1">
      <c r="A52" s="555"/>
      <c r="B52" s="377"/>
      <c r="C52" s="377"/>
      <c r="D52" s="556"/>
      <c r="E52" s="556"/>
      <c r="F52" s="556"/>
      <c r="G52" s="556"/>
      <c r="H52" s="377"/>
      <c r="I52" s="377"/>
      <c r="J52" s="557"/>
      <c r="K52" s="377"/>
      <c r="L52" s="377"/>
      <c r="M52" s="377"/>
      <c r="N52" s="556"/>
      <c r="O52" s="556"/>
      <c r="P52" s="556"/>
      <c r="Q52" s="556"/>
      <c r="R52" s="556"/>
      <c r="S52" s="556"/>
      <c r="T52" s="556"/>
      <c r="U52" s="556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30" customHeight="1">
      <c r="A53" s="376" t="s">
        <v>39</v>
      </c>
      <c r="B53" s="377">
        <v>48</v>
      </c>
      <c r="C53" s="377" t="s">
        <v>40</v>
      </c>
      <c r="D53" s="378">
        <v>5.0199999999999996</v>
      </c>
      <c r="E53" s="378">
        <v>34.1</v>
      </c>
      <c r="F53" s="378">
        <v>32.200000000000003</v>
      </c>
      <c r="G53" s="378">
        <v>34.1</v>
      </c>
      <c r="H53" s="378">
        <v>31.63</v>
      </c>
      <c r="I53" s="379">
        <f>+(E53-F53)</f>
        <v>1.9</v>
      </c>
      <c r="J53" s="380">
        <f t="shared" ref="J53:J59" si="11">+(G53-H53)</f>
        <v>2.4700000000000002</v>
      </c>
      <c r="K53" s="381">
        <f t="shared" ref="K53:K62" si="12">+((I53+J53)/2)+0.1+1</f>
        <v>3.29</v>
      </c>
      <c r="L53" s="382">
        <v>6</v>
      </c>
      <c r="M53" s="379">
        <f>(L53*K53*D53)</f>
        <v>99.09</v>
      </c>
      <c r="N53" s="378">
        <f t="shared" ref="N53:N104" si="13">(L53*D53*0.1)</f>
        <v>3.01</v>
      </c>
      <c r="O53" s="378">
        <f>((((B53*2.54)/100)*((B53*2.54)/100)*3.14)/4)*D53</f>
        <v>5.86</v>
      </c>
      <c r="P53" s="383">
        <f>+M53-(N53+O53)</f>
        <v>90.22</v>
      </c>
      <c r="Q53" s="378">
        <f>(L53*D53*((B53*2.54/100)+0.3)-O53)*1.2</f>
        <v>47.88</v>
      </c>
      <c r="R53" s="378"/>
      <c r="S53" s="378">
        <f t="shared" ref="S53" si="14">+(N53+O53+Q53/1.2)*1.3</f>
        <v>63.4</v>
      </c>
      <c r="T53" s="378">
        <v>0.5</v>
      </c>
      <c r="U53" s="378">
        <f>+D53*L53*T53</f>
        <v>15.06</v>
      </c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ht="30" customHeight="1">
      <c r="A54" s="376" t="s">
        <v>41</v>
      </c>
      <c r="B54" s="377">
        <v>48</v>
      </c>
      <c r="C54" s="377" t="s">
        <v>40</v>
      </c>
      <c r="D54" s="378">
        <v>12.96</v>
      </c>
      <c r="E54" s="378">
        <v>34.1</v>
      </c>
      <c r="F54" s="378">
        <v>31.63</v>
      </c>
      <c r="G54" s="378">
        <v>33.450000000000003</v>
      </c>
      <c r="H54" s="377">
        <v>31.51</v>
      </c>
      <c r="I54" s="379">
        <f>+(E54-F54)</f>
        <v>2.4700000000000002</v>
      </c>
      <c r="J54" s="380">
        <f t="shared" ref="J54" si="15">+(G54-H54)</f>
        <v>1.94</v>
      </c>
      <c r="K54" s="381">
        <f t="shared" ref="K54" si="16">+((I54+J54)/2)+0.1+1</f>
        <v>3.31</v>
      </c>
      <c r="L54" s="382">
        <v>6</v>
      </c>
      <c r="M54" s="379">
        <f t="shared" ref="M54" si="17">(L54*K54*D54)</f>
        <v>257.39</v>
      </c>
      <c r="N54" s="378">
        <f t="shared" ref="N54" si="18">(L54*D54*0.1)</f>
        <v>7.78</v>
      </c>
      <c r="O54" s="378">
        <f>((((B54*2.54)/100)*((B54*2.54)/100)*3.14)/4)*D54</f>
        <v>15.12</v>
      </c>
      <c r="P54" s="383">
        <f>+M54-(N54+O54)</f>
        <v>234.49</v>
      </c>
      <c r="Q54" s="378">
        <f>(L54*D54*((B54*2.54/100)+0.3)-O54)*1.2</f>
        <v>123.62</v>
      </c>
      <c r="R54" s="378"/>
      <c r="S54" s="378">
        <f t="shared" ref="S54" si="19">+(N54+O54+Q54/1.2)*1.3</f>
        <v>163.69</v>
      </c>
      <c r="T54" s="378">
        <v>0.5</v>
      </c>
      <c r="U54" s="378">
        <f>+D54*L54*T54</f>
        <v>38.880000000000003</v>
      </c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30" customHeight="1">
      <c r="A55" s="376" t="s">
        <v>42</v>
      </c>
      <c r="B55" s="377">
        <v>48</v>
      </c>
      <c r="C55" s="377" t="s">
        <v>40</v>
      </c>
      <c r="D55" s="378">
        <v>46</v>
      </c>
      <c r="E55" s="378">
        <v>33.450000000000003</v>
      </c>
      <c r="F55" s="378">
        <v>31.49</v>
      </c>
      <c r="G55" s="378">
        <v>32.020000000000003</v>
      </c>
      <c r="H55" s="377">
        <v>31.08</v>
      </c>
      <c r="I55" s="379">
        <f t="shared" ref="I55" si="20">+(E55-F55)</f>
        <v>1.96</v>
      </c>
      <c r="J55" s="380">
        <f t="shared" si="11"/>
        <v>0.94</v>
      </c>
      <c r="K55" s="381">
        <f t="shared" si="12"/>
        <v>2.5499999999999998</v>
      </c>
      <c r="L55" s="382">
        <v>6</v>
      </c>
      <c r="M55" s="379">
        <f t="shared" ref="M55:M58" si="21">(L55*K55*D55)</f>
        <v>703.8</v>
      </c>
      <c r="N55" s="378">
        <f t="shared" ref="N55:N58" si="22">(L55*D55*0.1)</f>
        <v>27.6</v>
      </c>
      <c r="O55" s="378">
        <f t="shared" ref="O55:O58" si="23">((((B55*2.54)/100)*((B55*2.54)/100)*3.14)/4)*D55</f>
        <v>53.68</v>
      </c>
      <c r="P55" s="383">
        <f t="shared" ref="P55:P58" si="24">+M55-(N55+O55)</f>
        <v>622.52</v>
      </c>
      <c r="Q55" s="378">
        <f t="shared" ref="Q55:Q58" si="25">(L55*D55*((B55*2.54/100)+0.3)-O55)*1.2</f>
        <v>438.74</v>
      </c>
      <c r="R55" s="378"/>
      <c r="S55" s="378">
        <f t="shared" ref="S55:S58" si="26">+(N55+O55+Q55/1.2)*1.3</f>
        <v>580.97</v>
      </c>
      <c r="T55" s="378">
        <v>0.5</v>
      </c>
      <c r="U55" s="378">
        <f>+D55*L55*T55</f>
        <v>138</v>
      </c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30" customHeight="1">
      <c r="A56" s="376" t="s">
        <v>43</v>
      </c>
      <c r="B56" s="377">
        <v>48</v>
      </c>
      <c r="C56" s="377" t="s">
        <v>40</v>
      </c>
      <c r="D56" s="378">
        <v>71.72</v>
      </c>
      <c r="E56" s="378">
        <v>32.020000000000003</v>
      </c>
      <c r="F56" s="378">
        <v>31.06</v>
      </c>
      <c r="G56" s="378">
        <v>32.35</v>
      </c>
      <c r="H56" s="377">
        <v>30.41</v>
      </c>
      <c r="I56" s="379">
        <f>+(E56-F56)</f>
        <v>0.96</v>
      </c>
      <c r="J56" s="380">
        <f t="shared" si="11"/>
        <v>1.94</v>
      </c>
      <c r="K56" s="381">
        <f t="shared" si="12"/>
        <v>2.5499999999999998</v>
      </c>
      <c r="L56" s="382">
        <v>6</v>
      </c>
      <c r="M56" s="379">
        <f t="shared" si="21"/>
        <v>1097.32</v>
      </c>
      <c r="N56" s="378">
        <f t="shared" si="22"/>
        <v>43.03</v>
      </c>
      <c r="O56" s="378">
        <f t="shared" si="23"/>
        <v>83.69</v>
      </c>
      <c r="P56" s="383">
        <f t="shared" si="24"/>
        <v>970.6</v>
      </c>
      <c r="Q56" s="378">
        <f t="shared" si="25"/>
        <v>684.06</v>
      </c>
      <c r="R56" s="378"/>
      <c r="S56" s="378">
        <f t="shared" si="26"/>
        <v>905.8</v>
      </c>
      <c r="T56" s="378">
        <v>0.5</v>
      </c>
      <c r="U56" s="378">
        <f t="shared" ref="U56:U100" si="27">+D56*L56*T56</f>
        <v>215.16</v>
      </c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30" customHeight="1">
      <c r="A57" s="376" t="s">
        <v>44</v>
      </c>
      <c r="B57" s="377">
        <v>48</v>
      </c>
      <c r="C57" s="377" t="s">
        <v>40</v>
      </c>
      <c r="D57" s="378">
        <v>7.64</v>
      </c>
      <c r="E57" s="378">
        <v>32.35</v>
      </c>
      <c r="F57" s="378">
        <v>30.33</v>
      </c>
      <c r="G57" s="378">
        <v>32.26</v>
      </c>
      <c r="H57" s="377">
        <v>30.33</v>
      </c>
      <c r="I57" s="379">
        <f t="shared" ref="I57:I62" si="28">+(E57-F57)</f>
        <v>2.02</v>
      </c>
      <c r="J57" s="380">
        <f t="shared" si="11"/>
        <v>1.93</v>
      </c>
      <c r="K57" s="381">
        <f t="shared" si="12"/>
        <v>3.08</v>
      </c>
      <c r="L57" s="382">
        <v>6</v>
      </c>
      <c r="M57" s="379">
        <f t="shared" si="21"/>
        <v>141.19</v>
      </c>
      <c r="N57" s="378">
        <f t="shared" si="22"/>
        <v>4.58</v>
      </c>
      <c r="O57" s="378">
        <f t="shared" si="23"/>
        <v>8.91</v>
      </c>
      <c r="P57" s="383">
        <f t="shared" si="24"/>
        <v>127.7</v>
      </c>
      <c r="Q57" s="378">
        <f t="shared" si="25"/>
        <v>72.88</v>
      </c>
      <c r="R57" s="378"/>
      <c r="S57" s="378">
        <f t="shared" si="26"/>
        <v>96.49</v>
      </c>
      <c r="T57" s="378">
        <v>0.5</v>
      </c>
      <c r="U57" s="378">
        <f t="shared" si="27"/>
        <v>22.92</v>
      </c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25.5" customHeight="1">
      <c r="A58" s="376" t="s">
        <v>45</v>
      </c>
      <c r="B58" s="377">
        <v>48</v>
      </c>
      <c r="C58" s="377" t="s">
        <v>40</v>
      </c>
      <c r="D58" s="378">
        <v>9.15</v>
      </c>
      <c r="E58" s="378">
        <v>32.26</v>
      </c>
      <c r="F58" s="378">
        <v>30.31</v>
      </c>
      <c r="G58" s="378">
        <v>32.159999999999997</v>
      </c>
      <c r="H58" s="377">
        <v>30.23</v>
      </c>
      <c r="I58" s="379">
        <f t="shared" si="28"/>
        <v>1.95</v>
      </c>
      <c r="J58" s="380">
        <f t="shared" si="11"/>
        <v>1.93</v>
      </c>
      <c r="K58" s="381">
        <f t="shared" si="12"/>
        <v>3.04</v>
      </c>
      <c r="L58" s="382">
        <v>6</v>
      </c>
      <c r="M58" s="379">
        <f t="shared" si="21"/>
        <v>166.9</v>
      </c>
      <c r="N58" s="378">
        <f t="shared" si="22"/>
        <v>5.49</v>
      </c>
      <c r="O58" s="378">
        <f t="shared" si="23"/>
        <v>10.68</v>
      </c>
      <c r="P58" s="383">
        <f t="shared" si="24"/>
        <v>150.72999999999999</v>
      </c>
      <c r="Q58" s="378">
        <f t="shared" si="25"/>
        <v>87.27</v>
      </c>
      <c r="R58" s="378"/>
      <c r="S58" s="378">
        <f t="shared" si="26"/>
        <v>115.56</v>
      </c>
      <c r="T58" s="378">
        <v>0.5</v>
      </c>
      <c r="U58" s="378">
        <f t="shared" si="27"/>
        <v>27.45</v>
      </c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30" customHeight="1">
      <c r="A59" s="376" t="s">
        <v>46</v>
      </c>
      <c r="B59" s="377">
        <v>48</v>
      </c>
      <c r="C59" s="377" t="s">
        <v>40</v>
      </c>
      <c r="D59" s="378">
        <v>58.3</v>
      </c>
      <c r="E59" s="378">
        <v>32.159999999999997</v>
      </c>
      <c r="F59" s="378">
        <v>30.21</v>
      </c>
      <c r="G59" s="378">
        <v>31.62</v>
      </c>
      <c r="H59" s="377">
        <v>29.68</v>
      </c>
      <c r="I59" s="379">
        <f t="shared" si="28"/>
        <v>1.95</v>
      </c>
      <c r="J59" s="380">
        <f t="shared" si="11"/>
        <v>1.94</v>
      </c>
      <c r="K59" s="381">
        <f t="shared" si="12"/>
        <v>3.05</v>
      </c>
      <c r="L59" s="382">
        <v>6</v>
      </c>
      <c r="M59" s="379">
        <f t="shared" ref="M59" si="29">(L59*K59*D59)</f>
        <v>1066.8900000000001</v>
      </c>
      <c r="N59" s="378">
        <f t="shared" ref="N59" si="30">(L59*D59*0.1)</f>
        <v>34.979999999999997</v>
      </c>
      <c r="O59" s="378">
        <f t="shared" ref="O59" si="31">((((B59*2.54)/100)*((B59*2.54)/100)*3.14)/4)*D59</f>
        <v>68.03</v>
      </c>
      <c r="P59" s="383">
        <f t="shared" ref="P59" si="32">+M59-(N59+O59)</f>
        <v>963.88</v>
      </c>
      <c r="Q59" s="378">
        <f t="shared" ref="Q59" si="33">(L59*D59*((B59*2.54/100)+0.3)-O59)*1.2</f>
        <v>556.05999999999995</v>
      </c>
      <c r="R59" s="378"/>
      <c r="S59" s="378">
        <f t="shared" ref="S59" si="34">+(N59+O59+Q59/1.2)*1.3</f>
        <v>736.31</v>
      </c>
      <c r="T59" s="378">
        <v>0.5</v>
      </c>
      <c r="U59" s="378">
        <f t="shared" si="27"/>
        <v>174.9</v>
      </c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30" customHeight="1">
      <c r="A60" s="376" t="s">
        <v>47</v>
      </c>
      <c r="B60" s="377">
        <v>48</v>
      </c>
      <c r="C60" s="377" t="s">
        <v>40</v>
      </c>
      <c r="D60" s="378">
        <v>35.11</v>
      </c>
      <c r="E60" s="378">
        <v>31.62</v>
      </c>
      <c r="F60" s="378">
        <v>29.66</v>
      </c>
      <c r="G60" s="378">
        <v>31.29</v>
      </c>
      <c r="H60" s="377">
        <v>29.35</v>
      </c>
      <c r="I60" s="379">
        <f t="shared" si="28"/>
        <v>1.96</v>
      </c>
      <c r="J60" s="380">
        <f t="shared" ref="J60" si="35">+(G60-H60)</f>
        <v>1.94</v>
      </c>
      <c r="K60" s="381">
        <f t="shared" si="12"/>
        <v>3.05</v>
      </c>
      <c r="L60" s="382">
        <v>6</v>
      </c>
      <c r="M60" s="379">
        <f t="shared" ref="M60" si="36">(L60*K60*D60)</f>
        <v>642.51</v>
      </c>
      <c r="N60" s="378">
        <f t="shared" ref="N60" si="37">(L60*D60*0.1)</f>
        <v>21.07</v>
      </c>
      <c r="O60" s="378">
        <f t="shared" ref="O60" si="38">((((B60*2.54)/100)*((B60*2.54)/100)*3.14)/4)*D60</f>
        <v>40.97</v>
      </c>
      <c r="P60" s="383">
        <f t="shared" ref="P60" si="39">+M60-(N60+O60)</f>
        <v>580.47</v>
      </c>
      <c r="Q60" s="378">
        <f t="shared" ref="Q60" si="40">(L60*D60*((B60*2.54/100)+0.3)-O60)*1.2</f>
        <v>334.88</v>
      </c>
      <c r="R60" s="378"/>
      <c r="S60" s="378">
        <f t="shared" ref="S60" si="41">+(N60+O60+Q60/1.2)*1.3</f>
        <v>443.44</v>
      </c>
      <c r="T60" s="378">
        <v>0.5</v>
      </c>
      <c r="U60" s="378">
        <f t="shared" si="27"/>
        <v>105.33</v>
      </c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30" customHeight="1">
      <c r="A61" s="376" t="s">
        <v>48</v>
      </c>
      <c r="B61" s="377">
        <v>48</v>
      </c>
      <c r="C61" s="377" t="s">
        <v>40</v>
      </c>
      <c r="D61" s="378">
        <v>38</v>
      </c>
      <c r="E61" s="378">
        <v>31.29</v>
      </c>
      <c r="F61" s="378">
        <v>29</v>
      </c>
      <c r="G61" s="378">
        <v>30.81</v>
      </c>
      <c r="H61" s="377">
        <v>28.64</v>
      </c>
      <c r="I61" s="379">
        <f t="shared" si="28"/>
        <v>2.29</v>
      </c>
      <c r="J61" s="380">
        <f t="shared" ref="J61" si="42">+(G61-H61)</f>
        <v>2.17</v>
      </c>
      <c r="K61" s="381">
        <f t="shared" si="12"/>
        <v>3.33</v>
      </c>
      <c r="L61" s="382">
        <v>6</v>
      </c>
      <c r="M61" s="379">
        <f t="shared" ref="M61" si="43">(L61*K61*D61)</f>
        <v>759.24</v>
      </c>
      <c r="N61" s="378">
        <f t="shared" ref="N61" si="44">(L61*D61*0.1)</f>
        <v>22.8</v>
      </c>
      <c r="O61" s="378">
        <f t="shared" ref="O61" si="45">((((B61*2.54)/100)*((B61*2.54)/100)*3.14)/4)*D61</f>
        <v>44.34</v>
      </c>
      <c r="P61" s="383">
        <f t="shared" ref="P61" si="46">+M61-(N61+O61)</f>
        <v>692.1</v>
      </c>
      <c r="Q61" s="378">
        <f t="shared" ref="Q61" si="47">(L61*D61*((B61*2.54/100)+0.3)-O61)*1.2</f>
        <v>362.45</v>
      </c>
      <c r="R61" s="378"/>
      <c r="S61" s="378">
        <f t="shared" ref="S61" si="48">+(N61+O61+Q61/1.2)*1.3</f>
        <v>479.94</v>
      </c>
      <c r="T61" s="378">
        <v>0.5</v>
      </c>
      <c r="U61" s="378">
        <f t="shared" si="27"/>
        <v>114</v>
      </c>
      <c r="V61" s="54"/>
      <c r="W61" s="54"/>
      <c r="X61" s="54"/>
      <c r="Y61" s="54"/>
      <c r="Z61" s="54"/>
      <c r="AA61" s="54"/>
      <c r="AB61" s="54"/>
      <c r="AC61" s="54"/>
      <c r="AD61" s="54"/>
    </row>
    <row r="62" spans="1:30" ht="30" customHeight="1">
      <c r="A62" s="376" t="s">
        <v>49</v>
      </c>
      <c r="B62" s="377">
        <v>60</v>
      </c>
      <c r="C62" s="377" t="s">
        <v>40</v>
      </c>
      <c r="D62" s="378">
        <v>23.46</v>
      </c>
      <c r="E62" s="378">
        <v>30.81</v>
      </c>
      <c r="F62" s="378">
        <v>28.63</v>
      </c>
      <c r="G62" s="378">
        <v>30.59</v>
      </c>
      <c r="H62" s="377">
        <v>28.42</v>
      </c>
      <c r="I62" s="379">
        <f t="shared" si="28"/>
        <v>2.1800000000000002</v>
      </c>
      <c r="J62" s="380">
        <f t="shared" ref="J62" si="49">+(G62-H62)</f>
        <v>2.17</v>
      </c>
      <c r="K62" s="381">
        <f t="shared" si="12"/>
        <v>3.28</v>
      </c>
      <c r="L62" s="382">
        <v>6</v>
      </c>
      <c r="M62" s="379">
        <f t="shared" ref="M62" si="50">(L62*K62*D62)</f>
        <v>461.69</v>
      </c>
      <c r="N62" s="378">
        <f t="shared" ref="N62" si="51">(L62*D62*0.1)</f>
        <v>14.08</v>
      </c>
      <c r="O62" s="378">
        <f t="shared" ref="O62" si="52">((((B62*2.54)/100)*((B62*2.54)/100)*3.14)/4)*D62</f>
        <v>42.77</v>
      </c>
      <c r="P62" s="383">
        <f t="shared" ref="P62" si="53">+M62-(N62+O62)</f>
        <v>404.84</v>
      </c>
      <c r="Q62" s="378">
        <f t="shared" ref="Q62" si="54">(L62*D62*((B62*2.54/100)+0.3)-O62)*1.2</f>
        <v>256.77</v>
      </c>
      <c r="R62" s="378"/>
      <c r="S62" s="378">
        <f t="shared" ref="S62" si="55">+(N62+O62+Q62/1.2)*1.3</f>
        <v>352.07</v>
      </c>
      <c r="T62" s="378">
        <v>0.5</v>
      </c>
      <c r="U62" s="378">
        <f t="shared" si="27"/>
        <v>70.38</v>
      </c>
      <c r="V62" s="54"/>
      <c r="W62" s="54"/>
      <c r="X62" s="54"/>
      <c r="Y62" s="54"/>
      <c r="Z62" s="54"/>
      <c r="AA62" s="54"/>
      <c r="AB62" s="54"/>
      <c r="AC62" s="54"/>
      <c r="AD62" s="54"/>
    </row>
    <row r="63" spans="1:30" ht="30" customHeight="1">
      <c r="A63" s="376" t="s">
        <v>50</v>
      </c>
      <c r="B63" s="377">
        <v>60</v>
      </c>
      <c r="C63" s="377" t="s">
        <v>40</v>
      </c>
      <c r="D63" s="378">
        <v>24.4</v>
      </c>
      <c r="E63" s="378">
        <v>30.59</v>
      </c>
      <c r="F63" s="378">
        <v>28.4</v>
      </c>
      <c r="G63" s="378">
        <v>30.39</v>
      </c>
      <c r="H63" s="377">
        <v>28.18</v>
      </c>
      <c r="I63" s="379">
        <f t="shared" ref="I63" si="56">+(E63-F63)</f>
        <v>2.19</v>
      </c>
      <c r="J63" s="380">
        <f t="shared" ref="J63" si="57">+(G63-H63)</f>
        <v>2.21</v>
      </c>
      <c r="K63" s="381">
        <f t="shared" ref="K63" si="58">+((I63+J63)/2)+0.1+1</f>
        <v>3.3</v>
      </c>
      <c r="L63" s="382">
        <v>6</v>
      </c>
      <c r="M63" s="379">
        <f t="shared" ref="M63" si="59">(L63*K63*D63)</f>
        <v>483.12</v>
      </c>
      <c r="N63" s="378">
        <f t="shared" ref="N63" si="60">(L63*D63*0.1)</f>
        <v>14.64</v>
      </c>
      <c r="O63" s="378">
        <f t="shared" ref="O63" si="61">((((B63*2.54)/100)*((B63*2.54)/100)*3.14)/4)*D63</f>
        <v>44.49</v>
      </c>
      <c r="P63" s="383">
        <f t="shared" ref="P63" si="62">+M63-(N63+O63)</f>
        <v>423.99</v>
      </c>
      <c r="Q63" s="378">
        <f t="shared" ref="Q63" si="63">(L63*D63*((B63*2.54/100)+0.3)-O63)*1.2</f>
        <v>267.05</v>
      </c>
      <c r="R63" s="378"/>
      <c r="S63" s="378">
        <f t="shared" ref="S63" si="64">+(N63+O63+Q63/1.2)*1.3</f>
        <v>366.17</v>
      </c>
      <c r="T63" s="378">
        <v>0.5</v>
      </c>
      <c r="U63" s="378">
        <f t="shared" ref="U63" si="65">+D63*L63*T63</f>
        <v>73.2</v>
      </c>
      <c r="V63" s="54"/>
      <c r="W63" s="54"/>
      <c r="X63" s="54"/>
      <c r="Y63" s="54"/>
      <c r="Z63" s="54"/>
      <c r="AA63" s="54"/>
      <c r="AB63" s="54"/>
      <c r="AC63" s="54"/>
      <c r="AD63" s="54"/>
    </row>
    <row r="64" spans="1:30" ht="30" customHeight="1">
      <c r="A64" s="376" t="s">
        <v>51</v>
      </c>
      <c r="B64" s="377">
        <v>60</v>
      </c>
      <c r="C64" s="377" t="s">
        <v>40</v>
      </c>
      <c r="D64" s="378">
        <v>56.89</v>
      </c>
      <c r="E64" s="378">
        <v>30.39</v>
      </c>
      <c r="F64" s="377">
        <v>28.16</v>
      </c>
      <c r="G64" s="378">
        <v>29.83</v>
      </c>
      <c r="H64" s="377">
        <v>27.65</v>
      </c>
      <c r="I64" s="379">
        <f t="shared" ref="I64:I71" si="66">+(E64-F64)</f>
        <v>2.23</v>
      </c>
      <c r="J64" s="380">
        <f t="shared" ref="J64:J71" si="67">+(G64-H64)</f>
        <v>2.1800000000000002</v>
      </c>
      <c r="K64" s="381">
        <f t="shared" ref="K64:K71" si="68">+((I64+J64)/2)+0.1+1</f>
        <v>3.31</v>
      </c>
      <c r="L64" s="382">
        <v>6</v>
      </c>
      <c r="M64" s="379">
        <f t="shared" ref="M64:M71" si="69">(L64*K64*D64)</f>
        <v>1129.8399999999999</v>
      </c>
      <c r="N64" s="378">
        <f t="shared" ref="N64:N71" si="70">(L64*D64*0.1)</f>
        <v>34.130000000000003</v>
      </c>
      <c r="O64" s="378">
        <f t="shared" ref="O64:O71" si="71">((((B64*2.54)/100)*((B64*2.54)/100)*3.14)/4)*D64</f>
        <v>103.72</v>
      </c>
      <c r="P64" s="383">
        <f t="shared" ref="P64:P71" si="72">+M64-(N64+O64)</f>
        <v>991.99</v>
      </c>
      <c r="Q64" s="378">
        <f t="shared" ref="Q64:Q71" si="73">(L64*D64*((B64*2.54/100)+0.3)-O64)*1.2</f>
        <v>622.66</v>
      </c>
      <c r="R64" s="378"/>
      <c r="S64" s="378">
        <f t="shared" ref="S64:S71" si="74">+(N64+O64+Q64/1.2)*1.3</f>
        <v>853.75</v>
      </c>
      <c r="T64" s="378">
        <v>0.5</v>
      </c>
      <c r="U64" s="378">
        <f t="shared" ref="U64:U71" si="75">+D64*L64*T64</f>
        <v>170.67</v>
      </c>
      <c r="V64" s="54"/>
      <c r="W64" s="54"/>
      <c r="X64" s="54"/>
      <c r="Y64" s="54"/>
      <c r="Z64" s="54"/>
      <c r="AA64" s="54"/>
      <c r="AB64" s="54"/>
      <c r="AC64" s="54"/>
      <c r="AD64" s="54"/>
    </row>
    <row r="65" spans="1:21" ht="30" customHeight="1">
      <c r="A65" s="376" t="s">
        <v>52</v>
      </c>
      <c r="B65" s="377">
        <v>60</v>
      </c>
      <c r="C65" s="377" t="s">
        <v>40</v>
      </c>
      <c r="D65" s="378">
        <v>8.42</v>
      </c>
      <c r="E65" s="378">
        <v>29.83</v>
      </c>
      <c r="F65" s="377">
        <v>27.63</v>
      </c>
      <c r="G65" s="378">
        <v>29.73</v>
      </c>
      <c r="H65" s="377">
        <v>27.56</v>
      </c>
      <c r="I65" s="379">
        <f t="shared" si="66"/>
        <v>2.2000000000000002</v>
      </c>
      <c r="J65" s="380">
        <f t="shared" si="67"/>
        <v>2.17</v>
      </c>
      <c r="K65" s="381">
        <f t="shared" si="68"/>
        <v>3.29</v>
      </c>
      <c r="L65" s="382">
        <v>6</v>
      </c>
      <c r="M65" s="379">
        <f t="shared" si="69"/>
        <v>166.21</v>
      </c>
      <c r="N65" s="378">
        <f t="shared" si="70"/>
        <v>5.05</v>
      </c>
      <c r="O65" s="378">
        <f t="shared" si="71"/>
        <v>15.35</v>
      </c>
      <c r="P65" s="383">
        <f t="shared" si="72"/>
        <v>145.81</v>
      </c>
      <c r="Q65" s="378">
        <f t="shared" si="73"/>
        <v>92.16</v>
      </c>
      <c r="R65" s="378"/>
      <c r="S65" s="378">
        <f t="shared" si="74"/>
        <v>126.36</v>
      </c>
      <c r="T65" s="378">
        <v>0.5</v>
      </c>
      <c r="U65" s="378">
        <f t="shared" si="75"/>
        <v>25.26</v>
      </c>
    </row>
    <row r="66" spans="1:21" ht="30" customHeight="1">
      <c r="A66" s="376" t="s">
        <v>53</v>
      </c>
      <c r="B66" s="377">
        <v>60</v>
      </c>
      <c r="C66" s="377" t="s">
        <v>40</v>
      </c>
      <c r="D66" s="378">
        <v>7.17</v>
      </c>
      <c r="E66" s="378">
        <v>29.73</v>
      </c>
      <c r="F66" s="377">
        <v>27.54</v>
      </c>
      <c r="G66" s="378">
        <v>29.73</v>
      </c>
      <c r="H66" s="377">
        <v>27.48</v>
      </c>
      <c r="I66" s="379">
        <f t="shared" si="66"/>
        <v>2.19</v>
      </c>
      <c r="J66" s="380">
        <f t="shared" si="67"/>
        <v>2.25</v>
      </c>
      <c r="K66" s="381">
        <f t="shared" si="68"/>
        <v>3.32</v>
      </c>
      <c r="L66" s="382">
        <v>6</v>
      </c>
      <c r="M66" s="379">
        <f t="shared" si="69"/>
        <v>142.83000000000001</v>
      </c>
      <c r="N66" s="378">
        <f t="shared" si="70"/>
        <v>4.3</v>
      </c>
      <c r="O66" s="378">
        <f t="shared" si="71"/>
        <v>13.07</v>
      </c>
      <c r="P66" s="383">
        <f t="shared" si="72"/>
        <v>125.46</v>
      </c>
      <c r="Q66" s="378">
        <f t="shared" si="73"/>
        <v>78.48</v>
      </c>
      <c r="R66" s="378"/>
      <c r="S66" s="378">
        <f t="shared" si="74"/>
        <v>107.6</v>
      </c>
      <c r="T66" s="378">
        <v>0.5</v>
      </c>
      <c r="U66" s="378">
        <f t="shared" si="75"/>
        <v>21.51</v>
      </c>
    </row>
    <row r="67" spans="1:21" ht="30" customHeight="1">
      <c r="A67" s="376" t="s">
        <v>54</v>
      </c>
      <c r="B67" s="377">
        <v>60</v>
      </c>
      <c r="C67" s="377" t="s">
        <v>40</v>
      </c>
      <c r="D67" s="378">
        <v>26.69</v>
      </c>
      <c r="E67" s="378">
        <v>29.73</v>
      </c>
      <c r="F67" s="377">
        <v>27.46</v>
      </c>
      <c r="G67" s="378">
        <v>29.4</v>
      </c>
      <c r="H67" s="377">
        <v>27.22</v>
      </c>
      <c r="I67" s="379">
        <f t="shared" si="66"/>
        <v>2.27</v>
      </c>
      <c r="J67" s="380">
        <f t="shared" si="67"/>
        <v>2.1800000000000002</v>
      </c>
      <c r="K67" s="381">
        <f t="shared" si="68"/>
        <v>3.33</v>
      </c>
      <c r="L67" s="382">
        <v>6</v>
      </c>
      <c r="M67" s="379">
        <f t="shared" si="69"/>
        <v>533.27</v>
      </c>
      <c r="N67" s="378">
        <f t="shared" si="70"/>
        <v>16.010000000000002</v>
      </c>
      <c r="O67" s="378">
        <f t="shared" si="71"/>
        <v>48.66</v>
      </c>
      <c r="P67" s="383">
        <f t="shared" si="72"/>
        <v>468.6</v>
      </c>
      <c r="Q67" s="378">
        <f t="shared" si="73"/>
        <v>292.12</v>
      </c>
      <c r="R67" s="378"/>
      <c r="S67" s="378">
        <f t="shared" si="74"/>
        <v>400.53</v>
      </c>
      <c r="T67" s="378">
        <v>0.5</v>
      </c>
      <c r="U67" s="378">
        <f t="shared" si="75"/>
        <v>80.069999999999993</v>
      </c>
    </row>
    <row r="68" spans="1:21" ht="30" customHeight="1">
      <c r="A68" s="376" t="s">
        <v>55</v>
      </c>
      <c r="B68" s="377">
        <v>60</v>
      </c>
      <c r="C68" s="377" t="s">
        <v>40</v>
      </c>
      <c r="D68" s="378">
        <v>9.3000000000000007</v>
      </c>
      <c r="E68" s="378">
        <v>29.4</v>
      </c>
      <c r="F68" s="377">
        <v>27.2</v>
      </c>
      <c r="G68" s="378">
        <v>29.3</v>
      </c>
      <c r="H68" s="377">
        <v>27.12</v>
      </c>
      <c r="I68" s="379">
        <f t="shared" si="66"/>
        <v>2.2000000000000002</v>
      </c>
      <c r="J68" s="380">
        <f t="shared" si="67"/>
        <v>2.1800000000000002</v>
      </c>
      <c r="K68" s="381">
        <f t="shared" si="68"/>
        <v>3.29</v>
      </c>
      <c r="L68" s="382">
        <v>6</v>
      </c>
      <c r="M68" s="379">
        <f t="shared" si="69"/>
        <v>183.58</v>
      </c>
      <c r="N68" s="378">
        <f t="shared" si="70"/>
        <v>5.58</v>
      </c>
      <c r="O68" s="378">
        <f t="shared" si="71"/>
        <v>16.96</v>
      </c>
      <c r="P68" s="383">
        <f t="shared" si="72"/>
        <v>161.04</v>
      </c>
      <c r="Q68" s="378">
        <f t="shared" si="73"/>
        <v>101.78</v>
      </c>
      <c r="R68" s="378"/>
      <c r="S68" s="378">
        <f t="shared" si="74"/>
        <v>139.56</v>
      </c>
      <c r="T68" s="378">
        <v>0.5</v>
      </c>
      <c r="U68" s="378">
        <f t="shared" si="75"/>
        <v>27.9</v>
      </c>
    </row>
    <row r="69" spans="1:21" ht="30" customHeight="1">
      <c r="A69" s="376" t="s">
        <v>56</v>
      </c>
      <c r="B69" s="377">
        <v>60</v>
      </c>
      <c r="C69" s="377" t="s">
        <v>40</v>
      </c>
      <c r="D69" s="378">
        <v>14.12</v>
      </c>
      <c r="E69" s="378">
        <v>29.3</v>
      </c>
      <c r="F69" s="377">
        <v>27.1</v>
      </c>
      <c r="G69" s="378">
        <v>29.15</v>
      </c>
      <c r="H69" s="377">
        <v>26.97</v>
      </c>
      <c r="I69" s="379">
        <f t="shared" si="66"/>
        <v>2.2000000000000002</v>
      </c>
      <c r="J69" s="380">
        <f t="shared" si="67"/>
        <v>2.1800000000000002</v>
      </c>
      <c r="K69" s="381">
        <f t="shared" si="68"/>
        <v>3.29</v>
      </c>
      <c r="L69" s="382">
        <v>6</v>
      </c>
      <c r="M69" s="379">
        <f t="shared" si="69"/>
        <v>278.73</v>
      </c>
      <c r="N69" s="378">
        <f t="shared" si="70"/>
        <v>8.4700000000000006</v>
      </c>
      <c r="O69" s="378">
        <f t="shared" si="71"/>
        <v>25.74</v>
      </c>
      <c r="P69" s="383">
        <f t="shared" si="72"/>
        <v>244.52</v>
      </c>
      <c r="Q69" s="378">
        <f t="shared" si="73"/>
        <v>154.55000000000001</v>
      </c>
      <c r="R69" s="378"/>
      <c r="S69" s="378">
        <f t="shared" si="74"/>
        <v>211.9</v>
      </c>
      <c r="T69" s="378">
        <v>0.5</v>
      </c>
      <c r="U69" s="378">
        <f t="shared" si="75"/>
        <v>42.36</v>
      </c>
    </row>
    <row r="70" spans="1:21" ht="30" customHeight="1">
      <c r="A70" s="376" t="s">
        <v>57</v>
      </c>
      <c r="B70" s="377">
        <v>60</v>
      </c>
      <c r="C70" s="377" t="s">
        <v>40</v>
      </c>
      <c r="D70" s="378">
        <v>26.74</v>
      </c>
      <c r="E70" s="378">
        <v>29.15</v>
      </c>
      <c r="F70" s="377">
        <v>26.95</v>
      </c>
      <c r="G70" s="378">
        <v>28.89</v>
      </c>
      <c r="H70" s="377">
        <v>26.72</v>
      </c>
      <c r="I70" s="379">
        <f t="shared" si="66"/>
        <v>2.2000000000000002</v>
      </c>
      <c r="J70" s="380">
        <f t="shared" si="67"/>
        <v>2.17</v>
      </c>
      <c r="K70" s="381">
        <f t="shared" si="68"/>
        <v>3.29</v>
      </c>
      <c r="L70" s="382">
        <v>6</v>
      </c>
      <c r="M70" s="379">
        <f t="shared" si="69"/>
        <v>527.85</v>
      </c>
      <c r="N70" s="378">
        <f t="shared" si="70"/>
        <v>16.04</v>
      </c>
      <c r="O70" s="378">
        <f t="shared" si="71"/>
        <v>48.75</v>
      </c>
      <c r="P70" s="383">
        <f t="shared" si="72"/>
        <v>463.06</v>
      </c>
      <c r="Q70" s="378">
        <f t="shared" si="73"/>
        <v>292.67</v>
      </c>
      <c r="R70" s="378"/>
      <c r="S70" s="378">
        <f t="shared" si="74"/>
        <v>401.29</v>
      </c>
      <c r="T70" s="378">
        <v>0.5</v>
      </c>
      <c r="U70" s="378">
        <f t="shared" si="75"/>
        <v>80.22</v>
      </c>
    </row>
    <row r="71" spans="1:21" ht="30" customHeight="1">
      <c r="A71" s="376" t="s">
        <v>58</v>
      </c>
      <c r="B71" s="377">
        <v>60</v>
      </c>
      <c r="C71" s="377" t="s">
        <v>40</v>
      </c>
      <c r="D71" s="378">
        <v>27.8</v>
      </c>
      <c r="E71" s="378">
        <v>28.89</v>
      </c>
      <c r="F71" s="377">
        <v>26.7</v>
      </c>
      <c r="G71" s="378">
        <v>28.63</v>
      </c>
      <c r="H71" s="377">
        <v>26.45</v>
      </c>
      <c r="I71" s="379">
        <f t="shared" si="66"/>
        <v>2.19</v>
      </c>
      <c r="J71" s="380">
        <f t="shared" si="67"/>
        <v>2.1800000000000002</v>
      </c>
      <c r="K71" s="381">
        <f t="shared" si="68"/>
        <v>3.29</v>
      </c>
      <c r="L71" s="382">
        <v>6</v>
      </c>
      <c r="M71" s="379">
        <f t="shared" si="69"/>
        <v>548.77</v>
      </c>
      <c r="N71" s="378">
        <f t="shared" si="70"/>
        <v>16.68</v>
      </c>
      <c r="O71" s="378">
        <f t="shared" si="71"/>
        <v>50.69</v>
      </c>
      <c r="P71" s="383">
        <f t="shared" si="72"/>
        <v>481.4</v>
      </c>
      <c r="Q71" s="378">
        <f t="shared" si="73"/>
        <v>304.26</v>
      </c>
      <c r="R71" s="378"/>
      <c r="S71" s="378">
        <f t="shared" si="74"/>
        <v>417.2</v>
      </c>
      <c r="T71" s="378">
        <v>0.5</v>
      </c>
      <c r="U71" s="378">
        <f t="shared" si="75"/>
        <v>83.4</v>
      </c>
    </row>
    <row r="72" spans="1:21" ht="30" customHeight="1">
      <c r="A72" s="376" t="s">
        <v>59</v>
      </c>
      <c r="B72" s="377">
        <v>60</v>
      </c>
      <c r="C72" s="377" t="s">
        <v>40</v>
      </c>
      <c r="D72" s="378">
        <v>15.81</v>
      </c>
      <c r="E72" s="378">
        <v>28.63</v>
      </c>
      <c r="F72" s="377">
        <v>26.43</v>
      </c>
      <c r="G72" s="378">
        <v>28.47</v>
      </c>
      <c r="H72" s="377">
        <v>26.29</v>
      </c>
      <c r="I72" s="379">
        <f t="shared" ref="I72:I98" si="76">+(E72-F72)</f>
        <v>2.2000000000000002</v>
      </c>
      <c r="J72" s="380">
        <f t="shared" ref="J72:J98" si="77">+(G72-H72)</f>
        <v>2.1800000000000002</v>
      </c>
      <c r="K72" s="381">
        <f t="shared" ref="K72:K98" si="78">+((I72+J72)/2)+0.1+1</f>
        <v>3.29</v>
      </c>
      <c r="L72" s="382">
        <v>6</v>
      </c>
      <c r="M72" s="379">
        <f t="shared" ref="M72:M98" si="79">(L72*K72*D72)</f>
        <v>312.08999999999997</v>
      </c>
      <c r="N72" s="378">
        <f t="shared" ref="N72:N98" si="80">(L72*D72*0.1)</f>
        <v>9.49</v>
      </c>
      <c r="O72" s="378">
        <f t="shared" ref="O72:O98" si="81">((((B72*2.54)/100)*((B72*2.54)/100)*3.14)/4)*D72</f>
        <v>28.83</v>
      </c>
      <c r="P72" s="383">
        <f t="shared" ref="P72:P98" si="82">+M72-(N72+O72)</f>
        <v>273.77</v>
      </c>
      <c r="Q72" s="378">
        <f t="shared" ref="Q72:Q98" si="83">(L72*D72*((B72*2.54/100)+0.3)-O72)*1.2</f>
        <v>173.03</v>
      </c>
      <c r="R72" s="378"/>
      <c r="S72" s="378">
        <f t="shared" ref="S72:S98" si="84">+(N72+O72+Q72/1.2)*1.3</f>
        <v>237.27</v>
      </c>
      <c r="T72" s="378">
        <v>0.5</v>
      </c>
      <c r="U72" s="378">
        <f t="shared" ref="U72:U98" si="85">+D72*L72*T72</f>
        <v>47.43</v>
      </c>
    </row>
    <row r="73" spans="1:21" ht="30" customHeight="1">
      <c r="A73" s="376" t="s">
        <v>60</v>
      </c>
      <c r="B73" s="377">
        <v>60</v>
      </c>
      <c r="C73" s="377" t="s">
        <v>40</v>
      </c>
      <c r="D73" s="378">
        <v>16.75</v>
      </c>
      <c r="E73" s="378">
        <v>28.47</v>
      </c>
      <c r="F73" s="377">
        <v>26.27</v>
      </c>
      <c r="G73" s="378">
        <v>28.3</v>
      </c>
      <c r="H73" s="377">
        <v>26.12</v>
      </c>
      <c r="I73" s="379">
        <f t="shared" si="76"/>
        <v>2.2000000000000002</v>
      </c>
      <c r="J73" s="380">
        <f t="shared" si="77"/>
        <v>2.1800000000000002</v>
      </c>
      <c r="K73" s="381">
        <f t="shared" si="78"/>
        <v>3.29</v>
      </c>
      <c r="L73" s="382">
        <v>6</v>
      </c>
      <c r="M73" s="379">
        <f t="shared" si="79"/>
        <v>330.65</v>
      </c>
      <c r="N73" s="378">
        <f t="shared" si="80"/>
        <v>10.050000000000001</v>
      </c>
      <c r="O73" s="378">
        <f t="shared" si="81"/>
        <v>30.54</v>
      </c>
      <c r="P73" s="383">
        <f t="shared" si="82"/>
        <v>290.06</v>
      </c>
      <c r="Q73" s="378">
        <f t="shared" si="83"/>
        <v>183.33</v>
      </c>
      <c r="R73" s="378"/>
      <c r="S73" s="378">
        <f t="shared" si="84"/>
        <v>251.37</v>
      </c>
      <c r="T73" s="378">
        <v>0.5</v>
      </c>
      <c r="U73" s="378">
        <f t="shared" si="85"/>
        <v>50.25</v>
      </c>
    </row>
    <row r="74" spans="1:21" ht="30" customHeight="1">
      <c r="A74" s="376" t="s">
        <v>61</v>
      </c>
      <c r="B74" s="377">
        <v>60</v>
      </c>
      <c r="C74" s="377" t="s">
        <v>40</v>
      </c>
      <c r="D74" s="378">
        <v>22.1</v>
      </c>
      <c r="E74" s="378">
        <v>28.3</v>
      </c>
      <c r="F74" s="377">
        <v>26.12</v>
      </c>
      <c r="G74" s="378">
        <v>28.08</v>
      </c>
      <c r="H74" s="377">
        <v>25.9</v>
      </c>
      <c r="I74" s="379">
        <f t="shared" si="76"/>
        <v>2.1800000000000002</v>
      </c>
      <c r="J74" s="380">
        <f t="shared" si="77"/>
        <v>2.1800000000000002</v>
      </c>
      <c r="K74" s="381">
        <f t="shared" si="78"/>
        <v>3.28</v>
      </c>
      <c r="L74" s="382">
        <v>6</v>
      </c>
      <c r="M74" s="379">
        <f t="shared" si="79"/>
        <v>434.93</v>
      </c>
      <c r="N74" s="378">
        <f t="shared" si="80"/>
        <v>13.26</v>
      </c>
      <c r="O74" s="378">
        <f t="shared" si="81"/>
        <v>40.29</v>
      </c>
      <c r="P74" s="383">
        <f t="shared" si="82"/>
        <v>381.38</v>
      </c>
      <c r="Q74" s="378">
        <f t="shared" si="83"/>
        <v>241.89</v>
      </c>
      <c r="R74" s="378"/>
      <c r="S74" s="378">
        <f t="shared" si="84"/>
        <v>331.66</v>
      </c>
      <c r="T74" s="378">
        <v>0.5</v>
      </c>
      <c r="U74" s="378">
        <f t="shared" si="85"/>
        <v>66.3</v>
      </c>
    </row>
    <row r="75" spans="1:21" ht="30" customHeight="1">
      <c r="A75" s="376" t="s">
        <v>62</v>
      </c>
      <c r="B75" s="377">
        <v>60</v>
      </c>
      <c r="C75" s="377" t="s">
        <v>40</v>
      </c>
      <c r="D75" s="378">
        <v>23.93</v>
      </c>
      <c r="E75" s="378">
        <v>28.08</v>
      </c>
      <c r="F75" s="377">
        <v>25.88</v>
      </c>
      <c r="G75" s="378">
        <v>27.84</v>
      </c>
      <c r="H75" s="377">
        <v>25.67</v>
      </c>
      <c r="I75" s="379">
        <f t="shared" si="76"/>
        <v>2.2000000000000002</v>
      </c>
      <c r="J75" s="380">
        <f t="shared" si="77"/>
        <v>2.17</v>
      </c>
      <c r="K75" s="381">
        <f t="shared" si="78"/>
        <v>3.29</v>
      </c>
      <c r="L75" s="382">
        <v>6</v>
      </c>
      <c r="M75" s="379">
        <f t="shared" si="79"/>
        <v>472.38</v>
      </c>
      <c r="N75" s="378">
        <f t="shared" si="80"/>
        <v>14.36</v>
      </c>
      <c r="O75" s="378">
        <f t="shared" si="81"/>
        <v>43.63</v>
      </c>
      <c r="P75" s="383">
        <f t="shared" si="82"/>
        <v>414.39</v>
      </c>
      <c r="Q75" s="378">
        <f t="shared" si="83"/>
        <v>261.91000000000003</v>
      </c>
      <c r="R75" s="378"/>
      <c r="S75" s="378">
        <f t="shared" si="84"/>
        <v>359.12</v>
      </c>
      <c r="T75" s="378">
        <v>0.5</v>
      </c>
      <c r="U75" s="378">
        <f t="shared" si="85"/>
        <v>71.790000000000006</v>
      </c>
    </row>
    <row r="76" spans="1:21" ht="30" customHeight="1">
      <c r="A76" s="376" t="s">
        <v>63</v>
      </c>
      <c r="B76" s="377">
        <v>60</v>
      </c>
      <c r="C76" s="377" t="s">
        <v>40</v>
      </c>
      <c r="D76" s="378">
        <v>18.7</v>
      </c>
      <c r="E76" s="378">
        <v>27.84</v>
      </c>
      <c r="F76" s="377">
        <v>25.65</v>
      </c>
      <c r="G76" s="378">
        <v>27.84</v>
      </c>
      <c r="H76" s="377">
        <v>25.48</v>
      </c>
      <c r="I76" s="379">
        <f t="shared" si="76"/>
        <v>2.19</v>
      </c>
      <c r="J76" s="380">
        <f t="shared" si="77"/>
        <v>2.36</v>
      </c>
      <c r="K76" s="381">
        <f t="shared" si="78"/>
        <v>3.38</v>
      </c>
      <c r="L76" s="382">
        <v>6</v>
      </c>
      <c r="M76" s="379">
        <f t="shared" si="79"/>
        <v>379.24</v>
      </c>
      <c r="N76" s="378">
        <f t="shared" si="80"/>
        <v>11.22</v>
      </c>
      <c r="O76" s="378">
        <f t="shared" si="81"/>
        <v>34.090000000000003</v>
      </c>
      <c r="P76" s="383">
        <f t="shared" si="82"/>
        <v>333.93</v>
      </c>
      <c r="Q76" s="378">
        <f t="shared" si="83"/>
        <v>204.68</v>
      </c>
      <c r="R76" s="378"/>
      <c r="S76" s="378">
        <f t="shared" si="84"/>
        <v>280.64</v>
      </c>
      <c r="T76" s="378">
        <v>0.5</v>
      </c>
      <c r="U76" s="378">
        <f t="shared" si="85"/>
        <v>56.1</v>
      </c>
    </row>
    <row r="77" spans="1:21" ht="30" customHeight="1">
      <c r="A77" s="376" t="s">
        <v>64</v>
      </c>
      <c r="B77" s="377">
        <v>60</v>
      </c>
      <c r="C77" s="377" t="s">
        <v>40</v>
      </c>
      <c r="D77" s="378">
        <v>37.619999999999997</v>
      </c>
      <c r="E77" s="378">
        <v>27.84</v>
      </c>
      <c r="F77" s="377">
        <v>25.46</v>
      </c>
      <c r="G77" s="378">
        <v>27.3</v>
      </c>
      <c r="H77" s="377">
        <v>25.13</v>
      </c>
      <c r="I77" s="379">
        <f t="shared" si="76"/>
        <v>2.38</v>
      </c>
      <c r="J77" s="380">
        <f t="shared" si="77"/>
        <v>2.17</v>
      </c>
      <c r="K77" s="381">
        <f t="shared" si="78"/>
        <v>3.38</v>
      </c>
      <c r="L77" s="382">
        <v>6</v>
      </c>
      <c r="M77" s="379">
        <f t="shared" si="79"/>
        <v>762.93</v>
      </c>
      <c r="N77" s="378">
        <f t="shared" si="80"/>
        <v>22.57</v>
      </c>
      <c r="O77" s="378">
        <f t="shared" si="81"/>
        <v>68.59</v>
      </c>
      <c r="P77" s="383">
        <f t="shared" si="82"/>
        <v>671.77</v>
      </c>
      <c r="Q77" s="378">
        <f t="shared" si="83"/>
        <v>411.75</v>
      </c>
      <c r="R77" s="378"/>
      <c r="S77" s="378">
        <f t="shared" si="84"/>
        <v>564.57000000000005</v>
      </c>
      <c r="T77" s="378">
        <v>0.5</v>
      </c>
      <c r="U77" s="378">
        <f t="shared" si="85"/>
        <v>112.86</v>
      </c>
    </row>
    <row r="78" spans="1:21" ht="30" customHeight="1">
      <c r="A78" s="376" t="s">
        <v>65</v>
      </c>
      <c r="B78" s="377">
        <v>60</v>
      </c>
      <c r="C78" s="377" t="s">
        <v>40</v>
      </c>
      <c r="D78" s="378">
        <v>6.36</v>
      </c>
      <c r="E78" s="378">
        <v>27.3</v>
      </c>
      <c r="F78" s="377">
        <v>25.11</v>
      </c>
      <c r="G78" s="378">
        <v>27.68</v>
      </c>
      <c r="H78" s="377">
        <v>25.05</v>
      </c>
      <c r="I78" s="379">
        <f t="shared" si="76"/>
        <v>2.19</v>
      </c>
      <c r="J78" s="380">
        <f t="shared" si="77"/>
        <v>2.63</v>
      </c>
      <c r="K78" s="381">
        <f t="shared" si="78"/>
        <v>3.51</v>
      </c>
      <c r="L78" s="382">
        <v>6</v>
      </c>
      <c r="M78" s="379">
        <f t="shared" si="79"/>
        <v>133.94</v>
      </c>
      <c r="N78" s="378">
        <f t="shared" si="80"/>
        <v>3.82</v>
      </c>
      <c r="O78" s="378">
        <f t="shared" si="81"/>
        <v>11.6</v>
      </c>
      <c r="P78" s="383">
        <f t="shared" si="82"/>
        <v>118.52</v>
      </c>
      <c r="Q78" s="378">
        <f t="shared" si="83"/>
        <v>69.599999999999994</v>
      </c>
      <c r="R78" s="378"/>
      <c r="S78" s="378">
        <f t="shared" si="84"/>
        <v>95.45</v>
      </c>
      <c r="T78" s="378">
        <v>0.5</v>
      </c>
      <c r="U78" s="378">
        <f t="shared" si="85"/>
        <v>19.079999999999998</v>
      </c>
    </row>
    <row r="79" spans="1:21" ht="30" customHeight="1">
      <c r="A79" s="376" t="s">
        <v>66</v>
      </c>
      <c r="B79" s="377">
        <v>80</v>
      </c>
      <c r="C79" s="377" t="s">
        <v>40</v>
      </c>
      <c r="D79" s="378">
        <v>18</v>
      </c>
      <c r="E79" s="378">
        <v>27.68</v>
      </c>
      <c r="F79" s="377">
        <v>25</v>
      </c>
      <c r="G79" s="378">
        <v>27.62</v>
      </c>
      <c r="H79" s="377">
        <v>24.95</v>
      </c>
      <c r="I79" s="379">
        <f t="shared" si="76"/>
        <v>2.68</v>
      </c>
      <c r="J79" s="380">
        <f t="shared" si="77"/>
        <v>2.67</v>
      </c>
      <c r="K79" s="381">
        <f t="shared" si="78"/>
        <v>3.78</v>
      </c>
      <c r="L79" s="382">
        <v>6</v>
      </c>
      <c r="M79" s="379">
        <f t="shared" si="79"/>
        <v>408.24</v>
      </c>
      <c r="N79" s="378">
        <f t="shared" si="80"/>
        <v>10.8</v>
      </c>
      <c r="O79" s="378">
        <f t="shared" si="81"/>
        <v>58.34</v>
      </c>
      <c r="P79" s="383">
        <f t="shared" si="82"/>
        <v>339.1</v>
      </c>
      <c r="Q79" s="378">
        <f t="shared" si="83"/>
        <v>232.22</v>
      </c>
      <c r="R79" s="378"/>
      <c r="S79" s="378">
        <f t="shared" si="84"/>
        <v>341.45</v>
      </c>
      <c r="T79" s="378">
        <v>0.5</v>
      </c>
      <c r="U79" s="378">
        <f t="shared" si="85"/>
        <v>54</v>
      </c>
    </row>
    <row r="80" spans="1:21" ht="30" customHeight="1">
      <c r="A80" s="376" t="s">
        <v>67</v>
      </c>
      <c r="B80" s="377">
        <v>80</v>
      </c>
      <c r="C80" s="377" t="s">
        <v>40</v>
      </c>
      <c r="D80" s="378">
        <v>65.34</v>
      </c>
      <c r="E80" s="378">
        <v>27.62</v>
      </c>
      <c r="F80" s="377">
        <v>24.94</v>
      </c>
      <c r="G80" s="378">
        <v>27.43</v>
      </c>
      <c r="H80" s="377">
        <v>24.75</v>
      </c>
      <c r="I80" s="379">
        <f t="shared" si="76"/>
        <v>2.68</v>
      </c>
      <c r="J80" s="380">
        <f t="shared" si="77"/>
        <v>2.68</v>
      </c>
      <c r="K80" s="381">
        <f t="shared" si="78"/>
        <v>3.78</v>
      </c>
      <c r="L80" s="382">
        <v>6</v>
      </c>
      <c r="M80" s="379">
        <f t="shared" si="79"/>
        <v>1481.91</v>
      </c>
      <c r="N80" s="378">
        <f t="shared" si="80"/>
        <v>39.200000000000003</v>
      </c>
      <c r="O80" s="378">
        <f t="shared" si="81"/>
        <v>211.79</v>
      </c>
      <c r="P80" s="383">
        <f t="shared" si="82"/>
        <v>1230.92</v>
      </c>
      <c r="Q80" s="378">
        <f t="shared" si="83"/>
        <v>842.94</v>
      </c>
      <c r="R80" s="378"/>
      <c r="S80" s="378">
        <f t="shared" si="84"/>
        <v>1239.47</v>
      </c>
      <c r="T80" s="378">
        <v>0.5</v>
      </c>
      <c r="U80" s="378">
        <f t="shared" si="85"/>
        <v>196.02</v>
      </c>
    </row>
    <row r="81" spans="1:21" ht="30" customHeight="1">
      <c r="A81" s="376" t="s">
        <v>68</v>
      </c>
      <c r="B81" s="377">
        <v>80</v>
      </c>
      <c r="C81" s="377" t="s">
        <v>40</v>
      </c>
      <c r="D81" s="378">
        <v>42.63</v>
      </c>
      <c r="E81" s="378">
        <v>27.43</v>
      </c>
      <c r="F81" s="377">
        <v>24.71</v>
      </c>
      <c r="G81" s="378">
        <v>27.3</v>
      </c>
      <c r="H81" s="377">
        <v>24.61</v>
      </c>
      <c r="I81" s="379">
        <f t="shared" si="76"/>
        <v>2.72</v>
      </c>
      <c r="J81" s="380">
        <f t="shared" si="77"/>
        <v>2.69</v>
      </c>
      <c r="K81" s="381">
        <f t="shared" si="78"/>
        <v>3.81</v>
      </c>
      <c r="L81" s="382">
        <v>6</v>
      </c>
      <c r="M81" s="379">
        <f t="shared" si="79"/>
        <v>974.52</v>
      </c>
      <c r="N81" s="378">
        <f t="shared" si="80"/>
        <v>25.58</v>
      </c>
      <c r="O81" s="378">
        <f t="shared" si="81"/>
        <v>138.18</v>
      </c>
      <c r="P81" s="383">
        <f t="shared" si="82"/>
        <v>810.76</v>
      </c>
      <c r="Q81" s="378">
        <f t="shared" si="83"/>
        <v>549.96</v>
      </c>
      <c r="R81" s="378"/>
      <c r="S81" s="378">
        <f t="shared" si="84"/>
        <v>808.68</v>
      </c>
      <c r="T81" s="378">
        <v>0.5</v>
      </c>
      <c r="U81" s="378">
        <f t="shared" si="85"/>
        <v>127.89</v>
      </c>
    </row>
    <row r="82" spans="1:21" ht="30" customHeight="1">
      <c r="A82" s="376" t="s">
        <v>69</v>
      </c>
      <c r="B82" s="377">
        <v>80</v>
      </c>
      <c r="C82" s="377" t="s">
        <v>40</v>
      </c>
      <c r="D82" s="378">
        <v>70.260000000000005</v>
      </c>
      <c r="E82" s="378">
        <v>27.3</v>
      </c>
      <c r="F82" s="377">
        <v>24.6</v>
      </c>
      <c r="G82" s="378">
        <v>27.08</v>
      </c>
      <c r="H82" s="377">
        <v>24.4</v>
      </c>
      <c r="I82" s="379">
        <f t="shared" si="76"/>
        <v>2.7</v>
      </c>
      <c r="J82" s="380">
        <f t="shared" si="77"/>
        <v>2.68</v>
      </c>
      <c r="K82" s="381">
        <f t="shared" si="78"/>
        <v>3.79</v>
      </c>
      <c r="L82" s="382">
        <v>6</v>
      </c>
      <c r="M82" s="379">
        <f t="shared" si="79"/>
        <v>1597.71</v>
      </c>
      <c r="N82" s="378">
        <f t="shared" si="80"/>
        <v>42.16</v>
      </c>
      <c r="O82" s="378">
        <f t="shared" si="81"/>
        <v>227.73</v>
      </c>
      <c r="P82" s="383">
        <f t="shared" si="82"/>
        <v>1327.82</v>
      </c>
      <c r="Q82" s="378">
        <f t="shared" si="83"/>
        <v>906.42</v>
      </c>
      <c r="R82" s="378"/>
      <c r="S82" s="378">
        <f t="shared" si="84"/>
        <v>1332.81</v>
      </c>
      <c r="T82" s="378">
        <v>0.5</v>
      </c>
      <c r="U82" s="378">
        <f t="shared" si="85"/>
        <v>210.78</v>
      </c>
    </row>
    <row r="83" spans="1:21" ht="30" customHeight="1">
      <c r="A83" s="376" t="s">
        <v>70</v>
      </c>
      <c r="B83" s="377">
        <v>80</v>
      </c>
      <c r="C83" s="377" t="s">
        <v>40</v>
      </c>
      <c r="D83" s="378">
        <v>19.53</v>
      </c>
      <c r="E83" s="378">
        <v>27.08</v>
      </c>
      <c r="F83" s="377">
        <v>24.39</v>
      </c>
      <c r="G83" s="378">
        <v>27.08</v>
      </c>
      <c r="H83" s="377">
        <v>24.33</v>
      </c>
      <c r="I83" s="379">
        <f t="shared" si="76"/>
        <v>2.69</v>
      </c>
      <c r="J83" s="380">
        <f t="shared" si="77"/>
        <v>2.75</v>
      </c>
      <c r="K83" s="381">
        <f t="shared" si="78"/>
        <v>3.82</v>
      </c>
      <c r="L83" s="382">
        <v>6</v>
      </c>
      <c r="M83" s="379">
        <f t="shared" si="79"/>
        <v>447.63</v>
      </c>
      <c r="N83" s="378">
        <f t="shared" si="80"/>
        <v>11.72</v>
      </c>
      <c r="O83" s="378">
        <f t="shared" si="81"/>
        <v>63.3</v>
      </c>
      <c r="P83" s="383">
        <f t="shared" si="82"/>
        <v>372.61</v>
      </c>
      <c r="Q83" s="378">
        <f t="shared" si="83"/>
        <v>251.96</v>
      </c>
      <c r="R83" s="378"/>
      <c r="S83" s="378">
        <f t="shared" si="84"/>
        <v>370.48</v>
      </c>
      <c r="T83" s="378">
        <v>0.5</v>
      </c>
      <c r="U83" s="378">
        <f t="shared" si="85"/>
        <v>58.59</v>
      </c>
    </row>
    <row r="84" spans="1:21" ht="30" customHeight="1">
      <c r="A84" s="376" t="s">
        <v>71</v>
      </c>
      <c r="B84" s="377">
        <v>80</v>
      </c>
      <c r="C84" s="377" t="s">
        <v>40</v>
      </c>
      <c r="D84" s="378">
        <v>7.24</v>
      </c>
      <c r="E84" s="378">
        <v>27.08</v>
      </c>
      <c r="F84" s="377">
        <v>24.32</v>
      </c>
      <c r="G84" s="378">
        <v>26.98</v>
      </c>
      <c r="H84" s="377">
        <v>24.3</v>
      </c>
      <c r="I84" s="379">
        <f t="shared" si="76"/>
        <v>2.76</v>
      </c>
      <c r="J84" s="380">
        <f t="shared" si="77"/>
        <v>2.68</v>
      </c>
      <c r="K84" s="381">
        <f t="shared" si="78"/>
        <v>3.82</v>
      </c>
      <c r="L84" s="382">
        <v>6</v>
      </c>
      <c r="M84" s="379">
        <f t="shared" si="79"/>
        <v>165.94</v>
      </c>
      <c r="N84" s="378">
        <f t="shared" si="80"/>
        <v>4.34</v>
      </c>
      <c r="O84" s="378">
        <f t="shared" si="81"/>
        <v>23.47</v>
      </c>
      <c r="P84" s="383">
        <f t="shared" si="82"/>
        <v>138.13</v>
      </c>
      <c r="Q84" s="378">
        <f t="shared" si="83"/>
        <v>93.4</v>
      </c>
      <c r="R84" s="378"/>
      <c r="S84" s="378">
        <f t="shared" si="84"/>
        <v>137.34</v>
      </c>
      <c r="T84" s="378">
        <v>0.5</v>
      </c>
      <c r="U84" s="378">
        <f t="shared" si="85"/>
        <v>21.72</v>
      </c>
    </row>
    <row r="85" spans="1:21" ht="30" customHeight="1">
      <c r="A85" s="376" t="s">
        <v>72</v>
      </c>
      <c r="B85" s="377">
        <v>80</v>
      </c>
      <c r="C85" s="377" t="s">
        <v>40</v>
      </c>
      <c r="D85" s="378">
        <v>6.72</v>
      </c>
      <c r="E85" s="378">
        <v>26.98</v>
      </c>
      <c r="F85" s="377">
        <v>24.26</v>
      </c>
      <c r="G85" s="378">
        <v>26.95</v>
      </c>
      <c r="H85" s="377">
        <v>24.27</v>
      </c>
      <c r="I85" s="379">
        <f t="shared" si="76"/>
        <v>2.72</v>
      </c>
      <c r="J85" s="380">
        <f t="shared" si="77"/>
        <v>2.68</v>
      </c>
      <c r="K85" s="381">
        <f t="shared" si="78"/>
        <v>3.8</v>
      </c>
      <c r="L85" s="382">
        <v>6</v>
      </c>
      <c r="M85" s="379">
        <f t="shared" si="79"/>
        <v>153.22</v>
      </c>
      <c r="N85" s="378">
        <f t="shared" si="80"/>
        <v>4.03</v>
      </c>
      <c r="O85" s="378">
        <f t="shared" si="81"/>
        <v>21.78</v>
      </c>
      <c r="P85" s="383">
        <f t="shared" si="82"/>
        <v>127.41</v>
      </c>
      <c r="Q85" s="378">
        <f t="shared" si="83"/>
        <v>86.7</v>
      </c>
      <c r="R85" s="378"/>
      <c r="S85" s="378">
        <f t="shared" si="84"/>
        <v>127.48</v>
      </c>
      <c r="T85" s="378">
        <v>0.5</v>
      </c>
      <c r="U85" s="378">
        <f t="shared" si="85"/>
        <v>20.16</v>
      </c>
    </row>
    <row r="86" spans="1:21" ht="30" customHeight="1">
      <c r="A86" s="376" t="s">
        <v>73</v>
      </c>
      <c r="B86" s="377">
        <v>80</v>
      </c>
      <c r="C86" s="377" t="s">
        <v>40</v>
      </c>
      <c r="D86" s="378">
        <v>7.34</v>
      </c>
      <c r="E86" s="378">
        <v>26.95</v>
      </c>
      <c r="F86" s="377">
        <v>24.24</v>
      </c>
      <c r="G86" s="378">
        <v>26.92</v>
      </c>
      <c r="H86" s="377">
        <v>24.24</v>
      </c>
      <c r="I86" s="379">
        <f t="shared" si="76"/>
        <v>2.71</v>
      </c>
      <c r="J86" s="380">
        <f t="shared" si="77"/>
        <v>2.68</v>
      </c>
      <c r="K86" s="381">
        <f t="shared" si="78"/>
        <v>3.8</v>
      </c>
      <c r="L86" s="382">
        <v>6</v>
      </c>
      <c r="M86" s="379">
        <f t="shared" si="79"/>
        <v>167.35</v>
      </c>
      <c r="N86" s="378">
        <f t="shared" si="80"/>
        <v>4.4000000000000004</v>
      </c>
      <c r="O86" s="378">
        <f t="shared" si="81"/>
        <v>23.79</v>
      </c>
      <c r="P86" s="383">
        <f t="shared" si="82"/>
        <v>139.16</v>
      </c>
      <c r="Q86" s="378">
        <f t="shared" si="83"/>
        <v>94.69</v>
      </c>
      <c r="R86" s="378"/>
      <c r="S86" s="378">
        <f t="shared" si="84"/>
        <v>139.22999999999999</v>
      </c>
      <c r="T86" s="378">
        <v>0.5</v>
      </c>
      <c r="U86" s="378">
        <f t="shared" si="85"/>
        <v>22.02</v>
      </c>
    </row>
    <row r="87" spans="1:21" s="468" customFormat="1" ht="30" customHeight="1">
      <c r="A87" s="558" t="s">
        <v>74</v>
      </c>
      <c r="B87" s="559">
        <v>80</v>
      </c>
      <c r="C87" s="559" t="s">
        <v>40</v>
      </c>
      <c r="D87" s="560">
        <v>93.37</v>
      </c>
      <c r="E87" s="560">
        <v>26.92</v>
      </c>
      <c r="F87" s="559">
        <v>24.23</v>
      </c>
      <c r="G87" s="560">
        <v>26.64</v>
      </c>
      <c r="H87" s="559">
        <v>23.96</v>
      </c>
      <c r="I87" s="561">
        <f t="shared" si="76"/>
        <v>2.69</v>
      </c>
      <c r="J87" s="560">
        <f t="shared" si="77"/>
        <v>2.68</v>
      </c>
      <c r="K87" s="561">
        <f t="shared" si="78"/>
        <v>3.79</v>
      </c>
      <c r="L87" s="562">
        <v>6</v>
      </c>
      <c r="M87" s="561">
        <f t="shared" si="79"/>
        <v>2123.23</v>
      </c>
      <c r="N87" s="560">
        <f t="shared" si="80"/>
        <v>56.02</v>
      </c>
      <c r="O87" s="560">
        <f t="shared" si="81"/>
        <v>302.64</v>
      </c>
      <c r="P87" s="560">
        <f t="shared" si="82"/>
        <v>1764.57</v>
      </c>
      <c r="Q87" s="560">
        <f t="shared" si="83"/>
        <v>1204.55</v>
      </c>
      <c r="R87" s="560"/>
      <c r="S87" s="560">
        <f t="shared" si="84"/>
        <v>1771.19</v>
      </c>
      <c r="T87" s="560">
        <v>0.5</v>
      </c>
      <c r="U87" s="560">
        <f t="shared" si="85"/>
        <v>280.11</v>
      </c>
    </row>
    <row r="88" spans="1:21" ht="30" customHeight="1">
      <c r="A88" s="376" t="s">
        <v>75</v>
      </c>
      <c r="B88" s="377">
        <v>80</v>
      </c>
      <c r="C88" s="377" t="s">
        <v>40</v>
      </c>
      <c r="D88" s="378">
        <v>67.73</v>
      </c>
      <c r="E88" s="378">
        <v>26.64</v>
      </c>
      <c r="F88" s="377">
        <v>22.96</v>
      </c>
      <c r="G88" s="378">
        <v>25.43</v>
      </c>
      <c r="H88" s="377">
        <v>22.75</v>
      </c>
      <c r="I88" s="379">
        <f t="shared" si="76"/>
        <v>3.68</v>
      </c>
      <c r="J88" s="380">
        <f t="shared" si="77"/>
        <v>2.68</v>
      </c>
      <c r="K88" s="381">
        <f t="shared" si="78"/>
        <v>4.28</v>
      </c>
      <c r="L88" s="382">
        <v>6</v>
      </c>
      <c r="M88" s="379">
        <f t="shared" si="79"/>
        <v>1739.31</v>
      </c>
      <c r="N88" s="378">
        <f t="shared" si="80"/>
        <v>40.64</v>
      </c>
      <c r="O88" s="378">
        <f t="shared" si="81"/>
        <v>219.53</v>
      </c>
      <c r="P88" s="383">
        <f t="shared" si="82"/>
        <v>1479.14</v>
      </c>
      <c r="Q88" s="378">
        <f t="shared" si="83"/>
        <v>873.78</v>
      </c>
      <c r="R88" s="378"/>
      <c r="S88" s="378">
        <f t="shared" si="84"/>
        <v>1284.82</v>
      </c>
      <c r="T88" s="378">
        <v>0.5</v>
      </c>
      <c r="U88" s="378">
        <f t="shared" si="85"/>
        <v>203.19</v>
      </c>
    </row>
    <row r="89" spans="1:21" ht="30" customHeight="1">
      <c r="A89" s="376" t="s">
        <v>76</v>
      </c>
      <c r="B89" s="377">
        <v>80</v>
      </c>
      <c r="C89" s="377" t="s">
        <v>40</v>
      </c>
      <c r="D89" s="378">
        <v>44.78</v>
      </c>
      <c r="E89" s="378">
        <v>25.43</v>
      </c>
      <c r="F89" s="377">
        <v>22.74</v>
      </c>
      <c r="G89" s="378">
        <v>25.29</v>
      </c>
      <c r="H89" s="377">
        <v>22.61</v>
      </c>
      <c r="I89" s="379">
        <f t="shared" si="76"/>
        <v>2.69</v>
      </c>
      <c r="J89" s="380">
        <f t="shared" si="77"/>
        <v>2.68</v>
      </c>
      <c r="K89" s="381">
        <f t="shared" si="78"/>
        <v>3.79</v>
      </c>
      <c r="L89" s="382">
        <v>6</v>
      </c>
      <c r="M89" s="379">
        <f t="shared" si="79"/>
        <v>1018.3</v>
      </c>
      <c r="N89" s="378">
        <f t="shared" si="80"/>
        <v>26.87</v>
      </c>
      <c r="O89" s="378">
        <f t="shared" si="81"/>
        <v>145.13999999999999</v>
      </c>
      <c r="P89" s="383">
        <f t="shared" si="82"/>
        <v>846.29</v>
      </c>
      <c r="Q89" s="378">
        <f t="shared" si="83"/>
        <v>577.71</v>
      </c>
      <c r="R89" s="378"/>
      <c r="S89" s="378">
        <f t="shared" si="84"/>
        <v>849.47</v>
      </c>
      <c r="T89" s="378">
        <v>0.5</v>
      </c>
      <c r="U89" s="378">
        <f t="shared" si="85"/>
        <v>134.34</v>
      </c>
    </row>
    <row r="90" spans="1:21" ht="30" customHeight="1">
      <c r="A90" s="376" t="s">
        <v>77</v>
      </c>
      <c r="B90" s="377">
        <v>80</v>
      </c>
      <c r="C90" s="377" t="s">
        <v>40</v>
      </c>
      <c r="D90" s="378">
        <v>27.13</v>
      </c>
      <c r="E90" s="378">
        <v>25.29</v>
      </c>
      <c r="F90" s="377">
        <v>22.6</v>
      </c>
      <c r="G90" s="378">
        <v>25.19</v>
      </c>
      <c r="H90" s="377">
        <v>22.52</v>
      </c>
      <c r="I90" s="379">
        <f t="shared" si="76"/>
        <v>2.69</v>
      </c>
      <c r="J90" s="380">
        <f t="shared" si="77"/>
        <v>2.67</v>
      </c>
      <c r="K90" s="381">
        <f t="shared" si="78"/>
        <v>3.78</v>
      </c>
      <c r="L90" s="382">
        <v>6</v>
      </c>
      <c r="M90" s="379">
        <f t="shared" si="79"/>
        <v>615.30999999999995</v>
      </c>
      <c r="N90" s="378">
        <f t="shared" si="80"/>
        <v>16.28</v>
      </c>
      <c r="O90" s="378">
        <f t="shared" si="81"/>
        <v>87.94</v>
      </c>
      <c r="P90" s="383">
        <f t="shared" si="82"/>
        <v>511.09</v>
      </c>
      <c r="Q90" s="378">
        <f t="shared" si="83"/>
        <v>350</v>
      </c>
      <c r="R90" s="378"/>
      <c r="S90" s="378">
        <f t="shared" si="84"/>
        <v>514.65</v>
      </c>
      <c r="T90" s="378">
        <v>0.5</v>
      </c>
      <c r="U90" s="378">
        <f t="shared" si="85"/>
        <v>81.39</v>
      </c>
    </row>
    <row r="91" spans="1:21" ht="30" customHeight="1">
      <c r="A91" s="376" t="s">
        <v>78</v>
      </c>
      <c r="B91" s="377">
        <v>80</v>
      </c>
      <c r="C91" s="377" t="s">
        <v>40</v>
      </c>
      <c r="D91" s="378">
        <v>10</v>
      </c>
      <c r="E91" s="378">
        <v>25.19</v>
      </c>
      <c r="F91" s="377">
        <v>21.52</v>
      </c>
      <c r="G91" s="378">
        <v>24.16</v>
      </c>
      <c r="H91" s="377">
        <v>21.48</v>
      </c>
      <c r="I91" s="379">
        <f t="shared" si="76"/>
        <v>3.67</v>
      </c>
      <c r="J91" s="380">
        <f t="shared" si="77"/>
        <v>2.68</v>
      </c>
      <c r="K91" s="381">
        <f t="shared" si="78"/>
        <v>4.28</v>
      </c>
      <c r="L91" s="382">
        <v>6</v>
      </c>
      <c r="M91" s="379">
        <f t="shared" si="79"/>
        <v>256.8</v>
      </c>
      <c r="N91" s="378">
        <f t="shared" si="80"/>
        <v>6</v>
      </c>
      <c r="O91" s="378">
        <f t="shared" si="81"/>
        <v>32.409999999999997</v>
      </c>
      <c r="P91" s="383">
        <f t="shared" si="82"/>
        <v>218.39</v>
      </c>
      <c r="Q91" s="378">
        <f t="shared" si="83"/>
        <v>129.01</v>
      </c>
      <c r="R91" s="378"/>
      <c r="S91" s="378">
        <f t="shared" si="84"/>
        <v>189.69</v>
      </c>
      <c r="T91" s="378">
        <v>0.5</v>
      </c>
      <c r="U91" s="378">
        <f t="shared" si="85"/>
        <v>30</v>
      </c>
    </row>
    <row r="92" spans="1:21" ht="30" customHeight="1">
      <c r="A92" s="376" t="s">
        <v>79</v>
      </c>
      <c r="B92" s="377">
        <v>80</v>
      </c>
      <c r="C92" s="377" t="s">
        <v>40</v>
      </c>
      <c r="D92" s="378">
        <v>8</v>
      </c>
      <c r="E92" s="378">
        <v>24.16</v>
      </c>
      <c r="F92" s="377">
        <v>20.48</v>
      </c>
      <c r="G92" s="378">
        <v>23.13</v>
      </c>
      <c r="H92" s="377">
        <v>20.45</v>
      </c>
      <c r="I92" s="379">
        <f t="shared" si="76"/>
        <v>3.68</v>
      </c>
      <c r="J92" s="380">
        <f t="shared" si="77"/>
        <v>2.68</v>
      </c>
      <c r="K92" s="381">
        <f t="shared" si="78"/>
        <v>4.28</v>
      </c>
      <c r="L92" s="382">
        <v>6</v>
      </c>
      <c r="M92" s="379">
        <f t="shared" si="79"/>
        <v>205.44</v>
      </c>
      <c r="N92" s="378">
        <f t="shared" si="80"/>
        <v>4.8</v>
      </c>
      <c r="O92" s="378">
        <f t="shared" si="81"/>
        <v>25.93</v>
      </c>
      <c r="P92" s="383">
        <f t="shared" si="82"/>
        <v>174.71</v>
      </c>
      <c r="Q92" s="378">
        <f t="shared" si="83"/>
        <v>103.21</v>
      </c>
      <c r="R92" s="378"/>
      <c r="S92" s="378">
        <f t="shared" si="84"/>
        <v>151.76</v>
      </c>
      <c r="T92" s="378">
        <v>0.5</v>
      </c>
      <c r="U92" s="378">
        <f t="shared" si="85"/>
        <v>24</v>
      </c>
    </row>
    <row r="93" spans="1:21" ht="30" customHeight="1">
      <c r="A93" s="376" t="s">
        <v>80</v>
      </c>
      <c r="B93" s="377">
        <v>80</v>
      </c>
      <c r="C93" s="377" t="s">
        <v>40</v>
      </c>
      <c r="D93" s="378">
        <v>33</v>
      </c>
      <c r="E93" s="378">
        <v>23.13</v>
      </c>
      <c r="F93" s="377">
        <v>19.45</v>
      </c>
      <c r="G93" s="378">
        <v>22.04</v>
      </c>
      <c r="H93" s="377">
        <v>19.37</v>
      </c>
      <c r="I93" s="379">
        <f t="shared" si="76"/>
        <v>3.68</v>
      </c>
      <c r="J93" s="380">
        <f t="shared" si="77"/>
        <v>2.67</v>
      </c>
      <c r="K93" s="381">
        <f t="shared" si="78"/>
        <v>4.28</v>
      </c>
      <c r="L93" s="382">
        <v>6</v>
      </c>
      <c r="M93" s="379">
        <f t="shared" si="79"/>
        <v>847.44</v>
      </c>
      <c r="N93" s="378">
        <f t="shared" si="80"/>
        <v>19.8</v>
      </c>
      <c r="O93" s="378">
        <f t="shared" si="81"/>
        <v>106.96</v>
      </c>
      <c r="P93" s="383">
        <f t="shared" si="82"/>
        <v>720.68</v>
      </c>
      <c r="Q93" s="378">
        <f t="shared" si="83"/>
        <v>425.73</v>
      </c>
      <c r="R93" s="378"/>
      <c r="S93" s="378">
        <f t="shared" si="84"/>
        <v>626</v>
      </c>
      <c r="T93" s="378">
        <v>0.5</v>
      </c>
      <c r="U93" s="378">
        <f t="shared" si="85"/>
        <v>99</v>
      </c>
    </row>
    <row r="94" spans="1:21" ht="30" customHeight="1">
      <c r="A94" s="376" t="s">
        <v>81</v>
      </c>
      <c r="B94" s="377">
        <v>80</v>
      </c>
      <c r="C94" s="377" t="s">
        <v>40</v>
      </c>
      <c r="D94" s="378">
        <v>8.5</v>
      </c>
      <c r="E94" s="378">
        <v>22.04</v>
      </c>
      <c r="F94" s="377">
        <v>19.37</v>
      </c>
      <c r="G94" s="378">
        <v>22</v>
      </c>
      <c r="H94" s="377">
        <v>19.32</v>
      </c>
      <c r="I94" s="379">
        <f t="shared" si="76"/>
        <v>2.67</v>
      </c>
      <c r="J94" s="380">
        <f t="shared" si="77"/>
        <v>2.68</v>
      </c>
      <c r="K94" s="381">
        <f t="shared" si="78"/>
        <v>3.78</v>
      </c>
      <c r="L94" s="382">
        <v>6</v>
      </c>
      <c r="M94" s="379">
        <f t="shared" si="79"/>
        <v>192.78</v>
      </c>
      <c r="N94" s="378">
        <f t="shared" si="80"/>
        <v>5.0999999999999996</v>
      </c>
      <c r="O94" s="378">
        <f t="shared" si="81"/>
        <v>27.55</v>
      </c>
      <c r="P94" s="383">
        <f t="shared" si="82"/>
        <v>160.13</v>
      </c>
      <c r="Q94" s="378">
        <f t="shared" si="83"/>
        <v>109.66</v>
      </c>
      <c r="R94" s="378"/>
      <c r="S94" s="378">
        <f t="shared" si="84"/>
        <v>161.24</v>
      </c>
      <c r="T94" s="378">
        <v>0.5</v>
      </c>
      <c r="U94" s="378">
        <f t="shared" si="85"/>
        <v>25.5</v>
      </c>
    </row>
    <row r="95" spans="1:21" ht="30" customHeight="1">
      <c r="A95" s="376" t="s">
        <v>82</v>
      </c>
      <c r="B95" s="377">
        <v>80</v>
      </c>
      <c r="C95" s="377" t="s">
        <v>40</v>
      </c>
      <c r="D95" s="378">
        <v>10.47</v>
      </c>
      <c r="E95" s="378">
        <v>22</v>
      </c>
      <c r="F95" s="377">
        <v>19.309999999999999</v>
      </c>
      <c r="G95" s="378">
        <v>21.97</v>
      </c>
      <c r="H95" s="377">
        <v>19.29</v>
      </c>
      <c r="I95" s="379">
        <f t="shared" si="76"/>
        <v>2.69</v>
      </c>
      <c r="J95" s="380">
        <f t="shared" si="77"/>
        <v>2.68</v>
      </c>
      <c r="K95" s="381">
        <f t="shared" si="78"/>
        <v>3.79</v>
      </c>
      <c r="L95" s="382">
        <v>6</v>
      </c>
      <c r="M95" s="379">
        <f t="shared" si="79"/>
        <v>238.09</v>
      </c>
      <c r="N95" s="378">
        <f t="shared" si="80"/>
        <v>6.28</v>
      </c>
      <c r="O95" s="378">
        <f t="shared" si="81"/>
        <v>33.94</v>
      </c>
      <c r="P95" s="383">
        <f t="shared" si="82"/>
        <v>197.87</v>
      </c>
      <c r="Q95" s="378">
        <f t="shared" si="83"/>
        <v>135.07</v>
      </c>
      <c r="R95" s="378"/>
      <c r="S95" s="378">
        <f t="shared" si="84"/>
        <v>198.61</v>
      </c>
      <c r="T95" s="378">
        <v>0.5</v>
      </c>
      <c r="U95" s="378">
        <f t="shared" si="85"/>
        <v>31.41</v>
      </c>
    </row>
    <row r="96" spans="1:21" ht="30" customHeight="1">
      <c r="A96" s="376" t="s">
        <v>83</v>
      </c>
      <c r="B96" s="377">
        <v>80</v>
      </c>
      <c r="C96" s="377" t="s">
        <v>40</v>
      </c>
      <c r="D96" s="378">
        <v>25.36</v>
      </c>
      <c r="E96" s="378">
        <v>21.97</v>
      </c>
      <c r="F96" s="377">
        <v>19.28</v>
      </c>
      <c r="G96" s="378">
        <v>21.89</v>
      </c>
      <c r="H96" s="377">
        <v>19.21</v>
      </c>
      <c r="I96" s="379">
        <f t="shared" si="76"/>
        <v>2.69</v>
      </c>
      <c r="J96" s="380">
        <f t="shared" si="77"/>
        <v>2.68</v>
      </c>
      <c r="K96" s="381">
        <f t="shared" si="78"/>
        <v>3.79</v>
      </c>
      <c r="L96" s="382">
        <v>6</v>
      </c>
      <c r="M96" s="379">
        <f t="shared" si="79"/>
        <v>576.69000000000005</v>
      </c>
      <c r="N96" s="378">
        <f t="shared" si="80"/>
        <v>15.22</v>
      </c>
      <c r="O96" s="378">
        <f t="shared" si="81"/>
        <v>82.2</v>
      </c>
      <c r="P96" s="383">
        <f t="shared" si="82"/>
        <v>479.27</v>
      </c>
      <c r="Q96" s="378">
        <f t="shared" si="83"/>
        <v>327.16000000000003</v>
      </c>
      <c r="R96" s="378"/>
      <c r="S96" s="378">
        <f t="shared" si="84"/>
        <v>481.07</v>
      </c>
      <c r="T96" s="378">
        <v>0.5</v>
      </c>
      <c r="U96" s="378">
        <f t="shared" si="85"/>
        <v>76.08</v>
      </c>
    </row>
    <row r="97" spans="1:21" ht="30" customHeight="1">
      <c r="A97" s="376" t="s">
        <v>84</v>
      </c>
      <c r="B97" s="377">
        <v>80</v>
      </c>
      <c r="C97" s="377" t="s">
        <v>40</v>
      </c>
      <c r="D97" s="378">
        <v>7.32</v>
      </c>
      <c r="E97" s="378">
        <v>21.89</v>
      </c>
      <c r="F97" s="377">
        <v>19.2</v>
      </c>
      <c r="G97" s="378">
        <v>21.83</v>
      </c>
      <c r="H97" s="377">
        <v>19.149999999999999</v>
      </c>
      <c r="I97" s="379">
        <f t="shared" si="76"/>
        <v>2.69</v>
      </c>
      <c r="J97" s="380">
        <f t="shared" si="77"/>
        <v>2.68</v>
      </c>
      <c r="K97" s="381">
        <f t="shared" si="78"/>
        <v>3.79</v>
      </c>
      <c r="L97" s="382">
        <v>6</v>
      </c>
      <c r="M97" s="379">
        <f t="shared" si="79"/>
        <v>166.46</v>
      </c>
      <c r="N97" s="378">
        <f t="shared" si="80"/>
        <v>4.3899999999999997</v>
      </c>
      <c r="O97" s="378">
        <f t="shared" si="81"/>
        <v>23.73</v>
      </c>
      <c r="P97" s="383">
        <f t="shared" si="82"/>
        <v>138.34</v>
      </c>
      <c r="Q97" s="378">
        <f t="shared" si="83"/>
        <v>94.43</v>
      </c>
      <c r="R97" s="378"/>
      <c r="S97" s="378">
        <f t="shared" si="84"/>
        <v>138.86000000000001</v>
      </c>
      <c r="T97" s="378">
        <v>0.5</v>
      </c>
      <c r="U97" s="378">
        <f t="shared" si="85"/>
        <v>21.96</v>
      </c>
    </row>
    <row r="98" spans="1:21" ht="30" customHeight="1">
      <c r="A98" s="376" t="s">
        <v>85</v>
      </c>
      <c r="B98" s="377">
        <v>80</v>
      </c>
      <c r="C98" s="377" t="s">
        <v>40</v>
      </c>
      <c r="D98" s="378">
        <v>11.12</v>
      </c>
      <c r="E98" s="378">
        <v>21.89</v>
      </c>
      <c r="F98" s="377">
        <v>19.2</v>
      </c>
      <c r="G98" s="378">
        <v>21.83</v>
      </c>
      <c r="H98" s="377">
        <v>19.12</v>
      </c>
      <c r="I98" s="379">
        <f t="shared" si="76"/>
        <v>2.69</v>
      </c>
      <c r="J98" s="380">
        <f t="shared" si="77"/>
        <v>2.71</v>
      </c>
      <c r="K98" s="381">
        <f t="shared" si="78"/>
        <v>3.8</v>
      </c>
      <c r="L98" s="382">
        <v>6</v>
      </c>
      <c r="M98" s="379">
        <f t="shared" si="79"/>
        <v>253.54</v>
      </c>
      <c r="N98" s="378">
        <f t="shared" si="80"/>
        <v>6.67</v>
      </c>
      <c r="O98" s="378">
        <f t="shared" si="81"/>
        <v>36.04</v>
      </c>
      <c r="P98" s="383">
        <f t="shared" si="82"/>
        <v>210.83</v>
      </c>
      <c r="Q98" s="378">
        <f t="shared" si="83"/>
        <v>143.46</v>
      </c>
      <c r="R98" s="378"/>
      <c r="S98" s="378">
        <f t="shared" si="84"/>
        <v>210.94</v>
      </c>
      <c r="T98" s="378">
        <v>0.5</v>
      </c>
      <c r="U98" s="378">
        <f t="shared" si="85"/>
        <v>33.36</v>
      </c>
    </row>
    <row r="99" spans="1:21" ht="30" customHeight="1">
      <c r="A99" s="376"/>
      <c r="B99" s="377"/>
      <c r="C99" s="377"/>
      <c r="D99" s="378"/>
      <c r="E99" s="378"/>
      <c r="F99" s="378"/>
      <c r="G99" s="378"/>
      <c r="H99" s="377"/>
      <c r="I99" s="379"/>
      <c r="J99" s="380"/>
      <c r="K99" s="381"/>
      <c r="L99" s="382"/>
      <c r="M99" s="379"/>
      <c r="N99" s="378"/>
      <c r="O99" s="378"/>
      <c r="P99" s="383"/>
      <c r="Q99" s="378"/>
      <c r="R99" s="378"/>
      <c r="S99" s="378"/>
      <c r="T99" s="378"/>
      <c r="U99" s="378"/>
    </row>
    <row r="100" spans="1:21" ht="30" customHeight="1">
      <c r="A100" s="376" t="s">
        <v>86</v>
      </c>
      <c r="B100" s="377">
        <v>12</v>
      </c>
      <c r="C100" s="377" t="s">
        <v>17</v>
      </c>
      <c r="D100" s="378">
        <f>18.16+17.68+46.54+46.9+72.47+72.47+19.8+19.23+34.9+33.32+22.79+22.15+35.73+35.86+64.1+64.37+26.18+24.07+57.36+58.1+10.83+7.25+7.05+9.39+28.15+26.19+11.04+9.14+16.71+13.27+27.64+26.85+28.94+28.36+15.5+17.62+17.46+17.37+23.38+22.5+23.45+25.66+18.05+20.88+39.29+37.13+7.61+6.78+19.23+18.45+65.71+66.38+14.63+14.54+28.51+26.7+72.71+64.04+20.15+20.36+20.15+20.36+40.42+10.97+8.17+8.25+95.66+92.87+69.24+67.27+45.43+45.7+27.31+28.55+21.9+23.11+34.4+33.01+11.85+6.93+13+9.11+24.41+27.69+29.26+30.1+32.02+31.7+36.87+35.27+15.2+15.02+20.07+22.15+17.14+17.46+34.21+34.66+28.72+30.55+11.88+11.83+50.2+48.93+45.16+43.47+16.78+16.18+15.07+16.44+4.54+6.28+10.76+10.55+12.1+12.26+84.23+84.21+37.07+36.7+28.64+27.62+12.19+12.4+6.12+7.5+18.4+17.07+22.5+22.54+17.82+19.45+13.15+10.63+7.36+10.24+23.06+21.78+10.24+4.65+46.91+44.18+40.05+39.63+51.58+49.8+28.8+29.11+46.86+48.3+13.87+15.74+58.38+61.13+19.42+17.9+58.98+55.33+101.54+102.22+60.82+66.38+27.56+30.91+11.53+15.63+12.32+12.79+13.65+8.14+10+5.95+17.27+13.17+20.3+16.14+21.19+26.17+35.06+36.08+10.36+7.49+7.42+11.56+15.39+11.56+43.12+44.12+10.61+7.62+21.37+18.72+6.09+3.8+54.47+52.96+25.74+29.6+4.13+10.81+9.51+10.51+11.58+18.64+6.9+8.94+9.45+12.51+7.77+4.78+9+7.76</f>
        <v>5776.32</v>
      </c>
      <c r="E100" s="378"/>
      <c r="F100" s="378"/>
      <c r="G100" s="378"/>
      <c r="H100" s="377"/>
      <c r="I100" s="379">
        <f t="shared" ref="I100" si="86">+(E100-F100)</f>
        <v>0</v>
      </c>
      <c r="J100" s="380">
        <f>+(G100-H100)</f>
        <v>0</v>
      </c>
      <c r="K100" s="381">
        <v>4.5</v>
      </c>
      <c r="L100" s="382">
        <v>0.7</v>
      </c>
      <c r="M100" s="379">
        <f t="shared" ref="M100" si="87">(L100*K100*D100)</f>
        <v>18195.41</v>
      </c>
      <c r="N100" s="378">
        <f t="shared" ref="N100" si="88">(L100*D100*0.1)</f>
        <v>404.34</v>
      </c>
      <c r="O100" s="378">
        <f t="shared" ref="O100" si="89">((((B100*2.54)/100)*((B100*2.54)/100)*3.14)/4)*D100</f>
        <v>421.26</v>
      </c>
      <c r="P100" s="383">
        <f t="shared" ref="P100" si="90">+M100-(N100+O100)</f>
        <v>17369.810000000001</v>
      </c>
      <c r="Q100" s="378">
        <f t="shared" ref="Q100" si="91">(L100*D100*((B100*2.54/100)+0.3)-O100)*1.2</f>
        <v>2429.04</v>
      </c>
      <c r="R100" s="378"/>
      <c r="S100" s="378">
        <f t="shared" ref="S100" si="92">+(N100+O100+Q100/1.2)*1.3</f>
        <v>3704.74</v>
      </c>
      <c r="T100" s="378">
        <v>0.5</v>
      </c>
      <c r="U100" s="378">
        <f t="shared" si="27"/>
        <v>2021.71</v>
      </c>
    </row>
    <row r="101" spans="1:21" ht="30" customHeight="1">
      <c r="A101" s="376"/>
      <c r="B101" s="377"/>
      <c r="C101" s="377"/>
      <c r="D101" s="378"/>
      <c r="E101" s="378"/>
      <c r="F101" s="378"/>
      <c r="G101" s="378"/>
      <c r="H101" s="377"/>
      <c r="I101" s="379"/>
      <c r="J101" s="380"/>
      <c r="K101" s="381"/>
      <c r="L101" s="382"/>
      <c r="M101" s="379"/>
      <c r="N101" s="378"/>
      <c r="O101" s="378"/>
      <c r="P101" s="383"/>
      <c r="Q101" s="378"/>
      <c r="R101" s="378"/>
      <c r="S101" s="378"/>
      <c r="T101" s="378"/>
      <c r="U101" s="378"/>
    </row>
    <row r="102" spans="1:21" ht="30" customHeight="1">
      <c r="A102" s="376" t="s">
        <v>87</v>
      </c>
      <c r="B102" s="377"/>
      <c r="C102" s="377"/>
      <c r="D102" s="378">
        <v>650</v>
      </c>
      <c r="E102" s="378"/>
      <c r="F102" s="378"/>
      <c r="G102" s="378"/>
      <c r="H102" s="377"/>
      <c r="I102" s="379">
        <f t="shared" ref="I102" si="93">+(E102-F102)</f>
        <v>0</v>
      </c>
      <c r="J102" s="380">
        <f>+(G102-H102)</f>
        <v>0</v>
      </c>
      <c r="K102" s="381">
        <v>3.5</v>
      </c>
      <c r="L102" s="379">
        <v>4.5</v>
      </c>
      <c r="M102" s="379">
        <f>(L102*K102*D102)</f>
        <v>10237.5</v>
      </c>
      <c r="N102" s="378"/>
      <c r="O102" s="378">
        <f>+D102*3*2.5</f>
        <v>4875</v>
      </c>
      <c r="P102" s="383">
        <f>+M102-(N102+O102)</f>
        <v>5362.5</v>
      </c>
      <c r="Q102" s="378"/>
      <c r="R102" s="378"/>
      <c r="S102" s="378">
        <f>+P102*1.3</f>
        <v>6971.25</v>
      </c>
      <c r="T102" s="378">
        <v>0.5</v>
      </c>
      <c r="U102" s="378">
        <f>+D102*L102*T102</f>
        <v>1462.5</v>
      </c>
    </row>
    <row r="103" spans="1:21" ht="30" customHeight="1">
      <c r="A103" s="376" t="s">
        <v>88</v>
      </c>
      <c r="B103" s="377"/>
      <c r="C103" s="377"/>
      <c r="D103" s="378">
        <v>1000</v>
      </c>
      <c r="E103" s="378"/>
      <c r="F103" s="378"/>
      <c r="G103" s="378"/>
      <c r="H103" s="377"/>
      <c r="I103" s="379">
        <f t="shared" ref="I103" si="94">+(E103-F103)</f>
        <v>0</v>
      </c>
      <c r="J103" s="380">
        <f>+(G103-H103)</f>
        <v>0</v>
      </c>
      <c r="K103" s="381">
        <v>3.5</v>
      </c>
      <c r="L103" s="379">
        <v>6</v>
      </c>
      <c r="M103" s="379">
        <f>(L103*K103*D103)</f>
        <v>21000</v>
      </c>
      <c r="N103" s="378"/>
      <c r="O103" s="378">
        <f>+D103*4.75*2.5</f>
        <v>11875</v>
      </c>
      <c r="P103" s="383">
        <f>+M103-(N103+O103)</f>
        <v>9125</v>
      </c>
      <c r="Q103" s="378"/>
      <c r="R103" s="378"/>
      <c r="S103" s="378">
        <f>+P103*1.3</f>
        <v>11862.5</v>
      </c>
      <c r="T103" s="378">
        <v>0.5</v>
      </c>
      <c r="U103" s="378">
        <f>+D103*L103*T103</f>
        <v>3000</v>
      </c>
    </row>
    <row r="104" spans="1:21" ht="30" customHeight="1" thickBot="1">
      <c r="A104" s="376"/>
      <c r="B104" s="377"/>
      <c r="C104" s="377"/>
      <c r="D104" s="378"/>
      <c r="E104" s="378"/>
      <c r="F104" s="378"/>
      <c r="G104" s="378"/>
      <c r="H104" s="377"/>
      <c r="I104" s="379"/>
      <c r="J104" s="380"/>
      <c r="K104" s="381"/>
      <c r="L104" s="382"/>
      <c r="M104" s="379">
        <f t="shared" ref="M104" si="95">(L104*K104*D104)</f>
        <v>0</v>
      </c>
      <c r="N104" s="378">
        <f t="shared" si="13"/>
        <v>0</v>
      </c>
      <c r="O104" s="378">
        <f t="shared" ref="O104" si="96">((((B104*2.54)/100)*((B104*2.54)/100)*3.14)/4)*D104</f>
        <v>0</v>
      </c>
      <c r="P104" s="383">
        <f t="shared" ref="P104" si="97">+M104-(N104+O104)</f>
        <v>0</v>
      </c>
      <c r="Q104" s="378">
        <f t="shared" ref="Q104" si="98">(L104*D104*((B104*2.54/100)+0.3)-O104)*1.2</f>
        <v>0</v>
      </c>
      <c r="R104" s="378"/>
      <c r="S104" s="378">
        <f t="shared" ref="S104:U104" si="99">+(N104+O104+Q104/1.2)*1.3</f>
        <v>0</v>
      </c>
      <c r="T104" s="378"/>
      <c r="U104" s="378">
        <f t="shared" si="99"/>
        <v>0</v>
      </c>
    </row>
    <row r="105" spans="1:21" ht="32.25" customHeight="1" thickTop="1" thickBot="1">
      <c r="A105" s="36"/>
      <c r="B105" s="9" t="s">
        <v>18</v>
      </c>
      <c r="C105" s="10"/>
      <c r="D105" s="11"/>
      <c r="E105" s="11"/>
      <c r="F105" s="11"/>
      <c r="G105" s="11"/>
      <c r="H105" s="12"/>
      <c r="I105" s="12"/>
      <c r="J105" s="41"/>
      <c r="K105" s="12"/>
      <c r="L105" s="12"/>
      <c r="M105" s="11">
        <f t="shared" ref="M105:S105" si="100">SUM(M53:M104)</f>
        <v>75279.199999999997</v>
      </c>
      <c r="N105" s="11">
        <f t="shared" si="100"/>
        <v>1144.73</v>
      </c>
      <c r="O105" s="11">
        <f t="shared" si="100"/>
        <v>20062.7</v>
      </c>
      <c r="P105" s="11">
        <f t="shared" si="100"/>
        <v>54071.77</v>
      </c>
      <c r="Q105" s="11">
        <f t="shared" si="100"/>
        <v>16677.63</v>
      </c>
      <c r="R105" s="11">
        <f t="shared" si="100"/>
        <v>0</v>
      </c>
      <c r="S105" s="11">
        <f t="shared" si="100"/>
        <v>42695.839999999997</v>
      </c>
      <c r="T105" s="11"/>
      <c r="U105" s="11">
        <f>SUM(U53:U104)</f>
        <v>10186.209999999999</v>
      </c>
    </row>
    <row r="106" spans="1:21" ht="32.25" customHeight="1" thickTop="1">
      <c r="A106" s="37"/>
      <c r="B106" s="13"/>
      <c r="C106" s="13"/>
      <c r="D106" s="14"/>
      <c r="E106" s="14"/>
      <c r="F106" s="14"/>
      <c r="G106" s="14"/>
      <c r="H106" s="15"/>
      <c r="I106" s="15"/>
      <c r="J106" s="42"/>
      <c r="K106" s="15"/>
      <c r="L106" s="15"/>
      <c r="M106" s="15"/>
      <c r="N106" s="15"/>
      <c r="O106" s="15"/>
      <c r="P106" s="15"/>
      <c r="Q106" s="15"/>
      <c r="R106" s="15"/>
      <c r="S106" s="15"/>
      <c r="T106" s="54"/>
      <c r="U106" s="54"/>
    </row>
    <row r="107" spans="1:21" ht="32.25" customHeight="1">
      <c r="A107" s="37"/>
      <c r="B107" s="13"/>
      <c r="C107" s="563" t="s">
        <v>89</v>
      </c>
      <c r="D107" s="563"/>
      <c r="E107" s="563"/>
      <c r="F107" s="14"/>
      <c r="G107" s="14"/>
      <c r="H107" s="15"/>
      <c r="I107" s="15"/>
      <c r="J107" s="42"/>
      <c r="K107" s="15"/>
      <c r="L107" s="15"/>
      <c r="M107" s="15" t="s">
        <v>90</v>
      </c>
      <c r="N107" s="15"/>
      <c r="O107" s="15">
        <f>SUM(O53:O58)</f>
        <v>177.94</v>
      </c>
      <c r="P107" s="15"/>
      <c r="Q107" s="15"/>
      <c r="R107" s="15"/>
      <c r="S107" s="15"/>
      <c r="T107" s="54"/>
      <c r="U107" s="54"/>
    </row>
    <row r="108" spans="1:21" ht="32.25" customHeight="1" thickBot="1">
      <c r="A108" s="37"/>
      <c r="B108" s="13"/>
      <c r="C108" s="563"/>
      <c r="D108" s="563"/>
      <c r="E108" s="563"/>
      <c r="F108" s="14"/>
      <c r="G108" s="14"/>
      <c r="H108" s="15"/>
      <c r="I108" s="15"/>
      <c r="J108" s="42"/>
      <c r="K108" s="15"/>
      <c r="L108" s="15"/>
      <c r="M108" s="15" t="s">
        <v>91</v>
      </c>
      <c r="N108" s="15"/>
      <c r="O108" s="15">
        <f>SUM(O59:O99)</f>
        <v>2713.5</v>
      </c>
      <c r="P108" s="15"/>
      <c r="Q108" s="15">
        <f>+P102*1.3</f>
        <v>6971.25</v>
      </c>
      <c r="R108" s="15"/>
      <c r="S108" s="15"/>
      <c r="T108" s="54"/>
      <c r="U108" s="54"/>
    </row>
    <row r="109" spans="1:21" ht="32.25" customHeight="1" thickTop="1" thickBot="1">
      <c r="A109" s="37"/>
      <c r="B109" s="13"/>
      <c r="C109" s="377"/>
      <c r="D109" s="20">
        <f>SUM(D53:D61)</f>
        <v>283.89999999999998</v>
      </c>
      <c r="E109" s="378"/>
      <c r="F109" s="14"/>
      <c r="G109" s="14"/>
      <c r="H109" s="15"/>
      <c r="I109" s="15"/>
      <c r="J109" s="42"/>
      <c r="K109" s="15"/>
      <c r="L109" s="15"/>
      <c r="M109" s="15" t="s">
        <v>92</v>
      </c>
      <c r="N109" s="15"/>
      <c r="O109" s="15">
        <f>+O100</f>
        <v>421.26</v>
      </c>
      <c r="P109" s="15"/>
      <c r="Q109" s="15"/>
      <c r="R109" s="15"/>
      <c r="S109" s="15"/>
      <c r="T109" s="54"/>
      <c r="U109" s="54"/>
    </row>
    <row r="110" spans="1:21" ht="32.25" customHeight="1" thickTop="1">
      <c r="A110" s="37"/>
      <c r="B110" s="13"/>
      <c r="C110" s="563" t="s">
        <v>93</v>
      </c>
      <c r="D110" s="563"/>
      <c r="E110" s="563"/>
      <c r="F110" s="14"/>
      <c r="G110" s="14" t="s">
        <v>94</v>
      </c>
      <c r="H110" s="15">
        <v>1072</v>
      </c>
      <c r="I110" s="15"/>
      <c r="J110" s="42"/>
      <c r="K110" s="15"/>
      <c r="L110" s="15"/>
      <c r="M110" s="15" t="s">
        <v>95</v>
      </c>
      <c r="N110" s="15"/>
      <c r="O110" s="15">
        <f>SUM(O102:O103)</f>
        <v>16750</v>
      </c>
      <c r="P110" s="15"/>
      <c r="Q110" s="15"/>
      <c r="R110" s="15"/>
      <c r="S110" s="15"/>
      <c r="T110" s="54"/>
      <c r="U110" s="54"/>
    </row>
    <row r="111" spans="1:21" ht="32.25" customHeight="1" thickBot="1">
      <c r="A111" s="37"/>
      <c r="B111" s="13"/>
      <c r="C111" s="563"/>
      <c r="D111" s="563"/>
      <c r="E111" s="563"/>
      <c r="F111" s="14"/>
      <c r="G111" s="14"/>
      <c r="H111" s="15"/>
      <c r="I111" s="15"/>
      <c r="J111" s="42"/>
      <c r="K111" s="15"/>
      <c r="L111" s="15"/>
      <c r="M111" s="15"/>
      <c r="N111" s="15"/>
      <c r="O111" s="15"/>
      <c r="P111" s="15"/>
      <c r="Q111" s="15"/>
      <c r="R111" s="15"/>
      <c r="S111" s="15"/>
      <c r="T111" s="54"/>
      <c r="U111" s="54"/>
    </row>
    <row r="112" spans="1:21" ht="32.25" customHeight="1" thickTop="1" thickBot="1">
      <c r="A112" s="37"/>
      <c r="B112" s="13"/>
      <c r="C112" s="377"/>
      <c r="D112" s="20">
        <f>SUM(D62:D78)</f>
        <v>366.26</v>
      </c>
      <c r="E112" s="378"/>
      <c r="F112" s="14"/>
      <c r="G112" s="14"/>
      <c r="H112" s="15"/>
      <c r="I112" s="15"/>
      <c r="J112" s="42"/>
      <c r="K112" s="15"/>
      <c r="L112" s="15"/>
      <c r="M112" s="15"/>
      <c r="N112" s="15"/>
      <c r="O112" s="15"/>
      <c r="P112" s="15"/>
      <c r="Q112" s="15"/>
      <c r="R112" s="15"/>
      <c r="S112" s="15"/>
      <c r="T112" s="54"/>
      <c r="U112" s="54"/>
    </row>
    <row r="113" spans="1:30" ht="32.25" customHeight="1" thickTop="1">
      <c r="A113" s="37"/>
      <c r="B113" s="13"/>
      <c r="C113" s="563" t="s">
        <v>96</v>
      </c>
      <c r="D113" s="563"/>
      <c r="E113" s="563"/>
      <c r="F113" s="14"/>
      <c r="G113" s="14">
        <f>+D109+D112+D115</f>
        <v>1234</v>
      </c>
      <c r="H113" s="15">
        <f>+G113+(2.6*45)</f>
        <v>1351</v>
      </c>
      <c r="I113" s="15"/>
      <c r="J113" s="42"/>
      <c r="K113" s="15"/>
      <c r="L113" s="15"/>
      <c r="M113" s="15"/>
      <c r="N113" s="15"/>
      <c r="O113" s="15"/>
      <c r="P113" s="15"/>
      <c r="Q113" s="15"/>
      <c r="R113" s="15"/>
      <c r="S113" s="15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 ht="32.25" customHeight="1" thickBot="1">
      <c r="A114" s="37"/>
      <c r="B114" s="13"/>
      <c r="C114" s="563"/>
      <c r="D114" s="563"/>
      <c r="E114" s="563"/>
      <c r="F114" s="14"/>
      <c r="G114" s="14"/>
      <c r="H114" s="15"/>
      <c r="I114" s="15"/>
      <c r="J114" s="42"/>
      <c r="K114" s="15"/>
      <c r="L114" s="15"/>
      <c r="M114" s="15"/>
      <c r="N114" s="15"/>
      <c r="O114" s="15"/>
      <c r="P114" s="15"/>
      <c r="Q114" s="15"/>
      <c r="R114" s="15"/>
      <c r="S114" s="15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 ht="32.25" customHeight="1" thickTop="1" thickBot="1">
      <c r="A115" s="37"/>
      <c r="B115" s="13"/>
      <c r="C115" s="377"/>
      <c r="D115" s="20">
        <f>SUM(D79:D98)</f>
        <v>583.84</v>
      </c>
      <c r="E115" s="378"/>
      <c r="F115" s="14"/>
      <c r="G115" s="14"/>
      <c r="H115" s="15"/>
      <c r="I115" s="15"/>
      <c r="J115" s="42"/>
      <c r="K115" s="15"/>
      <c r="L115" s="15"/>
      <c r="M115" s="15" t="s">
        <v>97</v>
      </c>
      <c r="N115" s="15"/>
      <c r="O115" s="15">
        <f>SUM(O107:O110)</f>
        <v>20062.7</v>
      </c>
      <c r="P115" s="15"/>
      <c r="Q115" s="15"/>
      <c r="R115" s="15"/>
      <c r="S115" s="15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 ht="32.25" customHeight="1" thickTop="1">
      <c r="A116" s="37"/>
      <c r="B116" s="13"/>
      <c r="C116" s="563" t="s">
        <v>98</v>
      </c>
      <c r="D116" s="563"/>
      <c r="E116" s="563"/>
      <c r="F116" s="14"/>
      <c r="G116" s="14"/>
      <c r="H116" s="15"/>
      <c r="I116" s="15"/>
      <c r="J116" s="42"/>
      <c r="K116" s="15"/>
      <c r="L116" s="15"/>
      <c r="M116" s="15"/>
      <c r="N116" s="15"/>
      <c r="O116" s="15"/>
      <c r="P116" s="15"/>
      <c r="Q116" s="15"/>
      <c r="R116" s="15"/>
      <c r="S116" s="15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 ht="32.25" customHeight="1" thickBot="1">
      <c r="A117" s="37"/>
      <c r="B117" s="13"/>
      <c r="C117" s="563"/>
      <c r="D117" s="563"/>
      <c r="E117" s="563"/>
      <c r="F117" s="14"/>
      <c r="G117" s="14"/>
      <c r="H117" s="15"/>
      <c r="I117" s="15"/>
      <c r="J117" s="42"/>
      <c r="K117" s="15"/>
      <c r="L117" s="15"/>
      <c r="M117" s="15"/>
      <c r="N117" s="15"/>
      <c r="O117" s="15">
        <f>+M123-O115</f>
        <v>55216.5</v>
      </c>
      <c r="P117" s="15"/>
      <c r="Q117" s="15"/>
      <c r="R117" s="15"/>
      <c r="S117" s="15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 ht="32.25" customHeight="1" thickTop="1" thickBot="1">
      <c r="A118" s="37"/>
      <c r="B118" s="13"/>
      <c r="C118" s="377"/>
      <c r="D118" s="20">
        <f>+D100*1.037</f>
        <v>5990.04</v>
      </c>
      <c r="E118" s="378"/>
      <c r="F118" s="14"/>
      <c r="G118" s="14"/>
      <c r="H118" s="15"/>
      <c r="I118" s="15"/>
      <c r="J118" s="42"/>
      <c r="K118" s="15"/>
      <c r="L118" s="15"/>
      <c r="M118" s="15"/>
      <c r="N118" s="15"/>
      <c r="O118" s="15"/>
      <c r="P118" s="15"/>
      <c r="Q118" s="15"/>
      <c r="R118" s="15"/>
      <c r="S118" s="15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 ht="32.25" customHeight="1" thickTop="1" thickBot="1">
      <c r="A119" s="37"/>
      <c r="B119" s="13"/>
      <c r="C119" s="13"/>
      <c r="D119" s="14"/>
      <c r="E119" s="14"/>
      <c r="F119" s="14"/>
      <c r="G119" s="14"/>
      <c r="H119" s="15"/>
      <c r="I119" s="15"/>
      <c r="J119" s="42"/>
      <c r="K119" s="15"/>
      <c r="L119" s="15"/>
      <c r="M119" s="15"/>
      <c r="N119" s="15"/>
      <c r="O119" s="15"/>
      <c r="P119" s="15"/>
      <c r="Q119" s="15"/>
      <c r="R119" s="15"/>
      <c r="S119" s="15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 ht="32.25" customHeight="1" thickTop="1" thickBot="1">
      <c r="A120" s="37"/>
      <c r="B120" s="13"/>
      <c r="C120" s="13"/>
      <c r="D120" s="14"/>
      <c r="E120" s="14"/>
      <c r="F120" s="14"/>
      <c r="G120" s="14"/>
      <c r="H120" s="15"/>
      <c r="I120" s="15"/>
      <c r="J120" s="42"/>
      <c r="K120" s="15"/>
      <c r="L120" s="15"/>
      <c r="M120" s="16"/>
      <c r="N120" s="16"/>
      <c r="O120" s="16"/>
      <c r="P120" s="16"/>
      <c r="Q120" s="16"/>
      <c r="R120" s="16"/>
      <c r="S120" s="16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 ht="32.25" customHeight="1" thickTop="1" thickBot="1">
      <c r="A121" s="47"/>
      <c r="B121" s="45"/>
      <c r="C121" s="13"/>
      <c r="D121" s="14"/>
      <c r="E121" s="14"/>
      <c r="F121" s="43"/>
      <c r="G121" s="501" t="s">
        <v>99</v>
      </c>
      <c r="H121" s="501"/>
      <c r="I121" s="501"/>
      <c r="J121" s="501"/>
      <c r="K121" s="45"/>
      <c r="L121" s="45"/>
      <c r="M121" s="502" t="s">
        <v>100</v>
      </c>
      <c r="N121" s="503"/>
      <c r="O121" s="503"/>
      <c r="P121" s="503"/>
      <c r="Q121" s="503"/>
      <c r="R121" s="503"/>
      <c r="S121" s="50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 ht="32.25" customHeight="1" thickTop="1" thickBot="1">
      <c r="A122" s="47"/>
      <c r="B122" s="45"/>
      <c r="C122" s="13"/>
      <c r="D122" s="14"/>
      <c r="E122" s="14"/>
      <c r="F122" s="43"/>
      <c r="G122" s="378" t="s">
        <v>101</v>
      </c>
      <c r="H122" s="377" t="s">
        <v>102</v>
      </c>
      <c r="I122" s="377" t="s">
        <v>103</v>
      </c>
      <c r="J122" s="377" t="s">
        <v>104</v>
      </c>
      <c r="K122" s="45"/>
      <c r="L122" s="17" t="s">
        <v>21</v>
      </c>
      <c r="M122" s="21" t="s">
        <v>11</v>
      </c>
      <c r="N122" s="22" t="s">
        <v>12</v>
      </c>
      <c r="O122" s="22" t="s">
        <v>32</v>
      </c>
      <c r="P122" s="22" t="s">
        <v>13</v>
      </c>
      <c r="Q122" s="564" t="s">
        <v>105</v>
      </c>
      <c r="R122" s="564"/>
      <c r="S122" s="23" t="s">
        <v>106</v>
      </c>
      <c r="T122" s="23"/>
      <c r="U122" s="23" t="s">
        <v>107</v>
      </c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 ht="32.25" customHeight="1" thickTop="1" thickBot="1">
      <c r="A123" s="47"/>
      <c r="B123" s="45"/>
      <c r="C123" s="13"/>
      <c r="D123" s="14"/>
      <c r="E123" s="14"/>
      <c r="F123" s="43"/>
      <c r="G123" s="378">
        <f>SUM(D60:D62)</f>
        <v>96.57</v>
      </c>
      <c r="H123" s="377">
        <f>SUM(D53:D59)</f>
        <v>210.79</v>
      </c>
      <c r="I123" s="377"/>
      <c r="J123" s="380"/>
      <c r="K123" s="45"/>
      <c r="L123" s="18"/>
      <c r="M123" s="20">
        <f>+M105</f>
        <v>75279.199999999997</v>
      </c>
      <c r="N123" s="20">
        <f>+N105</f>
        <v>1144.73</v>
      </c>
      <c r="O123" s="20">
        <f>+O105</f>
        <v>20062.7</v>
      </c>
      <c r="P123" s="20">
        <f>+O117</f>
        <v>55216.5</v>
      </c>
      <c r="Q123" s="20">
        <f>+M123-(O123+N123+U123)</f>
        <v>51391.77</v>
      </c>
      <c r="R123" s="20"/>
      <c r="S123" s="20">
        <f>+S105</f>
        <v>42695.839999999997</v>
      </c>
      <c r="T123" s="20">
        <f t="shared" ref="T123" si="101">+T105</f>
        <v>0</v>
      </c>
      <c r="U123" s="20">
        <f>+H110*5*0.5</f>
        <v>2680</v>
      </c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 ht="32.25" customHeight="1" thickTop="1" thickBot="1">
      <c r="A124" s="47" t="s">
        <v>108</v>
      </c>
      <c r="B124" s="45"/>
      <c r="C124" s="13"/>
      <c r="D124" s="14"/>
      <c r="E124" s="14"/>
      <c r="F124" s="43"/>
      <c r="G124" s="43"/>
      <c r="H124" s="45"/>
      <c r="I124" s="45"/>
      <c r="J124" s="46"/>
      <c r="K124" s="45"/>
      <c r="L124" s="48"/>
      <c r="M124" s="49"/>
      <c r="N124" s="43"/>
      <c r="O124" s="43"/>
      <c r="P124" s="43"/>
      <c r="Q124" s="43"/>
      <c r="R124" s="43"/>
      <c r="S124" s="43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 ht="32.25" customHeight="1" thickTop="1" thickBot="1">
      <c r="A125" s="47"/>
      <c r="B125" s="45"/>
      <c r="C125" s="45"/>
      <c r="D125" s="43"/>
      <c r="E125" s="43"/>
      <c r="F125" s="43"/>
      <c r="G125" s="43"/>
      <c r="H125" s="45"/>
      <c r="I125" s="45"/>
      <c r="J125" s="46"/>
      <c r="K125" s="45"/>
      <c r="L125" s="19">
        <v>90</v>
      </c>
      <c r="M125" s="19">
        <f>M123*L125%</f>
        <v>67751.28</v>
      </c>
      <c r="N125" s="43"/>
      <c r="O125" s="43"/>
      <c r="P125" s="43"/>
      <c r="Q125" s="43"/>
      <c r="R125" s="43"/>
      <c r="S125" s="43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 ht="32.25" customHeight="1" thickTop="1" thickBot="1">
      <c r="A126" s="47"/>
      <c r="B126" s="45"/>
      <c r="C126" s="497" t="s">
        <v>109</v>
      </c>
      <c r="D126" s="498"/>
      <c r="E126" s="499"/>
      <c r="F126" s="43"/>
      <c r="G126" s="43"/>
      <c r="H126" s="45"/>
      <c r="I126" s="45"/>
      <c r="J126" s="46"/>
      <c r="K126" s="45"/>
      <c r="L126" s="19">
        <v>80</v>
      </c>
      <c r="M126" s="19">
        <f>M123*L126%</f>
        <v>60223.360000000001</v>
      </c>
      <c r="N126" s="43"/>
      <c r="O126" s="43"/>
      <c r="P126" s="43"/>
      <c r="Q126" s="43"/>
      <c r="R126" s="43"/>
      <c r="S126" s="43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 ht="32.25" customHeight="1" thickTop="1" thickBot="1">
      <c r="A127" s="549"/>
      <c r="B127" s="54"/>
      <c r="C127" s="50"/>
      <c r="D127" s="51"/>
      <c r="E127" s="52"/>
      <c r="F127" s="54"/>
      <c r="G127" s="54"/>
      <c r="H127" s="547"/>
      <c r="I127" s="548"/>
      <c r="J127" s="548"/>
      <c r="K127" s="548"/>
      <c r="L127" s="19">
        <v>70</v>
      </c>
      <c r="M127" s="19">
        <f>M123*L127%</f>
        <v>52695.44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 ht="32.25" customHeight="1" thickTop="1" thickBot="1">
      <c r="A128" s="549"/>
      <c r="B128" s="54"/>
      <c r="C128" s="565" t="s">
        <v>110</v>
      </c>
      <c r="D128" s="566" t="s">
        <v>111</v>
      </c>
      <c r="E128" s="567" t="s">
        <v>112</v>
      </c>
      <c r="F128" s="54"/>
      <c r="G128" s="54"/>
      <c r="H128" s="547"/>
      <c r="I128" s="548"/>
      <c r="J128" s="548"/>
      <c r="K128" s="548"/>
      <c r="L128" s="19">
        <v>60</v>
      </c>
      <c r="M128" s="19">
        <f>M123*L128%</f>
        <v>45167.519999999997</v>
      </c>
      <c r="N128" s="54"/>
      <c r="O128" s="547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3:13" ht="32.25" customHeight="1" thickTop="1" thickBot="1">
      <c r="C129" s="568"/>
      <c r="D129" s="568">
        <f>(0.3+0.2)/2</f>
        <v>0.25</v>
      </c>
      <c r="E129" s="568"/>
      <c r="F129" s="54"/>
      <c r="G129" s="54"/>
      <c r="H129" s="547"/>
      <c r="I129" s="548"/>
      <c r="J129" s="548"/>
      <c r="K129" s="548"/>
      <c r="L129" s="19">
        <v>50</v>
      </c>
      <c r="M129" s="19">
        <f>M123*L129%</f>
        <v>37639.599999999999</v>
      </c>
    </row>
    <row r="130" spans="3:13" ht="32.25" customHeight="1" thickTop="1" thickBot="1">
      <c r="C130" s="569"/>
      <c r="D130" s="24">
        <f>+C129*D129*1</f>
        <v>0</v>
      </c>
      <c r="E130" s="53" t="s">
        <v>113</v>
      </c>
      <c r="F130" s="54"/>
      <c r="G130" s="54"/>
      <c r="H130" s="547"/>
      <c r="I130" s="548"/>
      <c r="J130" s="548"/>
      <c r="K130" s="548"/>
      <c r="L130" s="19">
        <v>40</v>
      </c>
      <c r="M130" s="19">
        <f>M123*L130%</f>
        <v>30111.68</v>
      </c>
    </row>
    <row r="131" spans="3:13" ht="32.25" customHeight="1" thickTop="1" thickBot="1">
      <c r="C131" s="570"/>
      <c r="D131" s="571"/>
      <c r="E131" s="572"/>
      <c r="F131" s="54"/>
      <c r="G131" s="54"/>
      <c r="H131" s="547"/>
      <c r="I131" s="548"/>
      <c r="J131" s="548"/>
      <c r="K131" s="548"/>
      <c r="L131" s="19">
        <v>30</v>
      </c>
      <c r="M131" s="19">
        <f>M123*L131%</f>
        <v>22583.759999999998</v>
      </c>
    </row>
    <row r="132" spans="3:13" ht="32.25" customHeight="1" thickTop="1" thickBot="1">
      <c r="C132" s="550"/>
      <c r="D132" s="546"/>
      <c r="E132" s="550"/>
      <c r="F132" s="54"/>
      <c r="G132" s="54"/>
      <c r="H132" s="547"/>
      <c r="I132" s="548"/>
      <c r="J132" s="548"/>
      <c r="K132" s="548"/>
      <c r="L132" s="19">
        <v>20</v>
      </c>
      <c r="M132" s="19">
        <f>M123*L132%</f>
        <v>15055.84</v>
      </c>
    </row>
    <row r="133" spans="3:13" ht="32.25" customHeight="1" thickTop="1" thickBot="1">
      <c r="C133" s="550"/>
      <c r="D133" s="546"/>
      <c r="E133" s="550"/>
      <c r="F133" s="54"/>
      <c r="G133" s="54"/>
      <c r="H133" s="547"/>
      <c r="I133" s="548"/>
      <c r="J133" s="548"/>
      <c r="K133" s="548"/>
      <c r="L133" s="19">
        <v>10</v>
      </c>
      <c r="M133" s="19">
        <f>M123*L133%</f>
        <v>7527.92</v>
      </c>
    </row>
    <row r="134" spans="3:13" ht="32.25" customHeight="1" thickTop="1">
      <c r="C134" s="550"/>
      <c r="D134" s="546"/>
      <c r="E134" s="550"/>
      <c r="F134" s="54"/>
      <c r="G134" s="54"/>
      <c r="H134" s="547"/>
      <c r="I134" s="548"/>
      <c r="J134" s="548"/>
      <c r="K134" s="548"/>
      <c r="L134" s="54"/>
      <c r="M134" s="54"/>
    </row>
    <row r="135" spans="3:13" ht="32.25" customHeight="1">
      <c r="C135" s="550"/>
      <c r="D135" s="546"/>
      <c r="E135" s="550"/>
      <c r="F135" s="54"/>
      <c r="G135" s="54"/>
      <c r="H135" s="547"/>
      <c r="I135" s="548"/>
      <c r="J135" s="548"/>
      <c r="K135" s="548"/>
      <c r="L135" s="54"/>
      <c r="M135" s="54"/>
    </row>
  </sheetData>
  <mergeCells count="20">
    <mergeCell ref="C26:E26"/>
    <mergeCell ref="R26:T26"/>
    <mergeCell ref="A1:O1"/>
    <mergeCell ref="P1:AD1"/>
    <mergeCell ref="A2:O2"/>
    <mergeCell ref="P2:AD2"/>
    <mergeCell ref="J24:O24"/>
    <mergeCell ref="Y24:AD24"/>
    <mergeCell ref="C126:E126"/>
    <mergeCell ref="M121:S121"/>
    <mergeCell ref="A38:O38"/>
    <mergeCell ref="A39:O39"/>
    <mergeCell ref="A40:O40"/>
    <mergeCell ref="A48:Q48"/>
    <mergeCell ref="A49:Q49"/>
    <mergeCell ref="G121:J121"/>
    <mergeCell ref="C110:E111"/>
    <mergeCell ref="C116:E117"/>
    <mergeCell ref="C107:E108"/>
    <mergeCell ref="C113:E114"/>
  </mergeCells>
  <phoneticPr fontId="0" type="noConversion"/>
  <printOptions horizontalCentered="1"/>
  <pageMargins left="0.39370078740157483" right="0.39370078740157483" top="0.4" bottom="0.92" header="0.27559055118110237" footer="0.31496062992125984"/>
  <pageSetup scale="70" orientation="portrait" horizontalDpi="4294967295" verticalDpi="300" r:id="rId1"/>
  <headerFooter alignWithMargins="0">
    <oddFooter>&amp;L&amp;10&amp;F / &amp;A&amp;R&amp;10&amp;P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7"/>
  <sheetViews>
    <sheetView view="pageBreakPreview" topLeftCell="A575" zoomScale="75" zoomScaleSheetLayoutView="75" workbookViewId="0">
      <selection activeCell="C579" sqref="C579"/>
    </sheetView>
  </sheetViews>
  <sheetFormatPr defaultColWidth="12.6640625" defaultRowHeight="18"/>
  <cols>
    <col min="1" max="1" width="7.88671875" style="91" customWidth="1"/>
    <col min="2" max="2" width="51.44140625" style="61" customWidth="1"/>
    <col min="3" max="3" width="15.88671875" style="60" customWidth="1"/>
    <col min="4" max="4" width="7.77734375" style="93" customWidth="1"/>
    <col min="5" max="5" width="14.33203125" style="60" customWidth="1"/>
    <col min="6" max="6" width="16.44140625" style="57" customWidth="1"/>
    <col min="7" max="7" width="16.77734375" style="61" customWidth="1"/>
    <col min="8" max="8" width="10.88671875" style="56" customWidth="1"/>
    <col min="9" max="9" width="15.21875" style="56" customWidth="1"/>
    <col min="10" max="10" width="19.88671875" style="56" customWidth="1"/>
    <col min="11" max="11" width="10.77734375" style="56" customWidth="1"/>
    <col min="12" max="256" width="12.6640625" style="61"/>
    <col min="257" max="257" width="7.88671875" style="61" customWidth="1"/>
    <col min="258" max="258" width="51.44140625" style="61" customWidth="1"/>
    <col min="259" max="259" width="15.88671875" style="61" customWidth="1"/>
    <col min="260" max="260" width="7.77734375" style="61" customWidth="1"/>
    <col min="261" max="261" width="13.109375" style="61" customWidth="1"/>
    <col min="262" max="262" width="13.77734375" style="61" customWidth="1"/>
    <col min="263" max="263" width="16.77734375" style="61" customWidth="1"/>
    <col min="264" max="264" width="7.44140625" style="61" customWidth="1"/>
    <col min="265" max="265" width="15.21875" style="61" customWidth="1"/>
    <col min="266" max="266" width="19.88671875" style="61" customWidth="1"/>
    <col min="267" max="267" width="10.77734375" style="61" customWidth="1"/>
    <col min="268" max="512" width="12.6640625" style="61"/>
    <col min="513" max="513" width="7.88671875" style="61" customWidth="1"/>
    <col min="514" max="514" width="51.44140625" style="61" customWidth="1"/>
    <col min="515" max="515" width="15.88671875" style="61" customWidth="1"/>
    <col min="516" max="516" width="7.77734375" style="61" customWidth="1"/>
    <col min="517" max="517" width="13.109375" style="61" customWidth="1"/>
    <col min="518" max="518" width="13.77734375" style="61" customWidth="1"/>
    <col min="519" max="519" width="16.77734375" style="61" customWidth="1"/>
    <col min="520" max="520" width="7.44140625" style="61" customWidth="1"/>
    <col min="521" max="521" width="15.21875" style="61" customWidth="1"/>
    <col min="522" max="522" width="19.88671875" style="61" customWidth="1"/>
    <col min="523" max="523" width="10.77734375" style="61" customWidth="1"/>
    <col min="524" max="768" width="12.6640625" style="61"/>
    <col min="769" max="769" width="7.88671875" style="61" customWidth="1"/>
    <col min="770" max="770" width="51.44140625" style="61" customWidth="1"/>
    <col min="771" max="771" width="15.88671875" style="61" customWidth="1"/>
    <col min="772" max="772" width="7.77734375" style="61" customWidth="1"/>
    <col min="773" max="773" width="13.109375" style="61" customWidth="1"/>
    <col min="774" max="774" width="13.77734375" style="61" customWidth="1"/>
    <col min="775" max="775" width="16.77734375" style="61" customWidth="1"/>
    <col min="776" max="776" width="7.44140625" style="61" customWidth="1"/>
    <col min="777" max="777" width="15.21875" style="61" customWidth="1"/>
    <col min="778" max="778" width="19.88671875" style="61" customWidth="1"/>
    <col min="779" max="779" width="10.77734375" style="61" customWidth="1"/>
    <col min="780" max="1024" width="12.6640625" style="61"/>
    <col min="1025" max="1025" width="7.88671875" style="61" customWidth="1"/>
    <col min="1026" max="1026" width="51.44140625" style="61" customWidth="1"/>
    <col min="1027" max="1027" width="15.88671875" style="61" customWidth="1"/>
    <col min="1028" max="1028" width="7.77734375" style="61" customWidth="1"/>
    <col min="1029" max="1029" width="13.109375" style="61" customWidth="1"/>
    <col min="1030" max="1030" width="13.77734375" style="61" customWidth="1"/>
    <col min="1031" max="1031" width="16.77734375" style="61" customWidth="1"/>
    <col min="1032" max="1032" width="7.44140625" style="61" customWidth="1"/>
    <col min="1033" max="1033" width="15.21875" style="61" customWidth="1"/>
    <col min="1034" max="1034" width="19.88671875" style="61" customWidth="1"/>
    <col min="1035" max="1035" width="10.77734375" style="61" customWidth="1"/>
    <col min="1036" max="1280" width="12.6640625" style="61"/>
    <col min="1281" max="1281" width="7.88671875" style="61" customWidth="1"/>
    <col min="1282" max="1282" width="51.44140625" style="61" customWidth="1"/>
    <col min="1283" max="1283" width="15.88671875" style="61" customWidth="1"/>
    <col min="1284" max="1284" width="7.77734375" style="61" customWidth="1"/>
    <col min="1285" max="1285" width="13.109375" style="61" customWidth="1"/>
    <col min="1286" max="1286" width="13.77734375" style="61" customWidth="1"/>
    <col min="1287" max="1287" width="16.77734375" style="61" customWidth="1"/>
    <col min="1288" max="1288" width="7.44140625" style="61" customWidth="1"/>
    <col min="1289" max="1289" width="15.21875" style="61" customWidth="1"/>
    <col min="1290" max="1290" width="19.88671875" style="61" customWidth="1"/>
    <col min="1291" max="1291" width="10.77734375" style="61" customWidth="1"/>
    <col min="1292" max="1536" width="12.6640625" style="61"/>
    <col min="1537" max="1537" width="7.88671875" style="61" customWidth="1"/>
    <col min="1538" max="1538" width="51.44140625" style="61" customWidth="1"/>
    <col min="1539" max="1539" width="15.88671875" style="61" customWidth="1"/>
    <col min="1540" max="1540" width="7.77734375" style="61" customWidth="1"/>
    <col min="1541" max="1541" width="13.109375" style="61" customWidth="1"/>
    <col min="1542" max="1542" width="13.77734375" style="61" customWidth="1"/>
    <col min="1543" max="1543" width="16.77734375" style="61" customWidth="1"/>
    <col min="1544" max="1544" width="7.44140625" style="61" customWidth="1"/>
    <col min="1545" max="1545" width="15.21875" style="61" customWidth="1"/>
    <col min="1546" max="1546" width="19.88671875" style="61" customWidth="1"/>
    <col min="1547" max="1547" width="10.77734375" style="61" customWidth="1"/>
    <col min="1548" max="1792" width="12.6640625" style="61"/>
    <col min="1793" max="1793" width="7.88671875" style="61" customWidth="1"/>
    <col min="1794" max="1794" width="51.44140625" style="61" customWidth="1"/>
    <col min="1795" max="1795" width="15.88671875" style="61" customWidth="1"/>
    <col min="1796" max="1796" width="7.77734375" style="61" customWidth="1"/>
    <col min="1797" max="1797" width="13.109375" style="61" customWidth="1"/>
    <col min="1798" max="1798" width="13.77734375" style="61" customWidth="1"/>
    <col min="1799" max="1799" width="16.77734375" style="61" customWidth="1"/>
    <col min="1800" max="1800" width="7.44140625" style="61" customWidth="1"/>
    <col min="1801" max="1801" width="15.21875" style="61" customWidth="1"/>
    <col min="1802" max="1802" width="19.88671875" style="61" customWidth="1"/>
    <col min="1803" max="1803" width="10.77734375" style="61" customWidth="1"/>
    <col min="1804" max="2048" width="12.6640625" style="61"/>
    <col min="2049" max="2049" width="7.88671875" style="61" customWidth="1"/>
    <col min="2050" max="2050" width="51.44140625" style="61" customWidth="1"/>
    <col min="2051" max="2051" width="15.88671875" style="61" customWidth="1"/>
    <col min="2052" max="2052" width="7.77734375" style="61" customWidth="1"/>
    <col min="2053" max="2053" width="13.109375" style="61" customWidth="1"/>
    <col min="2054" max="2054" width="13.77734375" style="61" customWidth="1"/>
    <col min="2055" max="2055" width="16.77734375" style="61" customWidth="1"/>
    <col min="2056" max="2056" width="7.44140625" style="61" customWidth="1"/>
    <col min="2057" max="2057" width="15.21875" style="61" customWidth="1"/>
    <col min="2058" max="2058" width="19.88671875" style="61" customWidth="1"/>
    <col min="2059" max="2059" width="10.77734375" style="61" customWidth="1"/>
    <col min="2060" max="2304" width="12.6640625" style="61"/>
    <col min="2305" max="2305" width="7.88671875" style="61" customWidth="1"/>
    <col min="2306" max="2306" width="51.44140625" style="61" customWidth="1"/>
    <col min="2307" max="2307" width="15.88671875" style="61" customWidth="1"/>
    <col min="2308" max="2308" width="7.77734375" style="61" customWidth="1"/>
    <col min="2309" max="2309" width="13.109375" style="61" customWidth="1"/>
    <col min="2310" max="2310" width="13.77734375" style="61" customWidth="1"/>
    <col min="2311" max="2311" width="16.77734375" style="61" customWidth="1"/>
    <col min="2312" max="2312" width="7.44140625" style="61" customWidth="1"/>
    <col min="2313" max="2313" width="15.21875" style="61" customWidth="1"/>
    <col min="2314" max="2314" width="19.88671875" style="61" customWidth="1"/>
    <col min="2315" max="2315" width="10.77734375" style="61" customWidth="1"/>
    <col min="2316" max="2560" width="12.6640625" style="61"/>
    <col min="2561" max="2561" width="7.88671875" style="61" customWidth="1"/>
    <col min="2562" max="2562" width="51.44140625" style="61" customWidth="1"/>
    <col min="2563" max="2563" width="15.88671875" style="61" customWidth="1"/>
    <col min="2564" max="2564" width="7.77734375" style="61" customWidth="1"/>
    <col min="2565" max="2565" width="13.109375" style="61" customWidth="1"/>
    <col min="2566" max="2566" width="13.77734375" style="61" customWidth="1"/>
    <col min="2567" max="2567" width="16.77734375" style="61" customWidth="1"/>
    <col min="2568" max="2568" width="7.44140625" style="61" customWidth="1"/>
    <col min="2569" max="2569" width="15.21875" style="61" customWidth="1"/>
    <col min="2570" max="2570" width="19.88671875" style="61" customWidth="1"/>
    <col min="2571" max="2571" width="10.77734375" style="61" customWidth="1"/>
    <col min="2572" max="2816" width="12.6640625" style="61"/>
    <col min="2817" max="2817" width="7.88671875" style="61" customWidth="1"/>
    <col min="2818" max="2818" width="51.44140625" style="61" customWidth="1"/>
    <col min="2819" max="2819" width="15.88671875" style="61" customWidth="1"/>
    <col min="2820" max="2820" width="7.77734375" style="61" customWidth="1"/>
    <col min="2821" max="2821" width="13.109375" style="61" customWidth="1"/>
    <col min="2822" max="2822" width="13.77734375" style="61" customWidth="1"/>
    <col min="2823" max="2823" width="16.77734375" style="61" customWidth="1"/>
    <col min="2824" max="2824" width="7.44140625" style="61" customWidth="1"/>
    <col min="2825" max="2825" width="15.21875" style="61" customWidth="1"/>
    <col min="2826" max="2826" width="19.88671875" style="61" customWidth="1"/>
    <col min="2827" max="2827" width="10.77734375" style="61" customWidth="1"/>
    <col min="2828" max="3072" width="12.6640625" style="61"/>
    <col min="3073" max="3073" width="7.88671875" style="61" customWidth="1"/>
    <col min="3074" max="3074" width="51.44140625" style="61" customWidth="1"/>
    <col min="3075" max="3075" width="15.88671875" style="61" customWidth="1"/>
    <col min="3076" max="3076" width="7.77734375" style="61" customWidth="1"/>
    <col min="3077" max="3077" width="13.109375" style="61" customWidth="1"/>
    <col min="3078" max="3078" width="13.77734375" style="61" customWidth="1"/>
    <col min="3079" max="3079" width="16.77734375" style="61" customWidth="1"/>
    <col min="3080" max="3080" width="7.44140625" style="61" customWidth="1"/>
    <col min="3081" max="3081" width="15.21875" style="61" customWidth="1"/>
    <col min="3082" max="3082" width="19.88671875" style="61" customWidth="1"/>
    <col min="3083" max="3083" width="10.77734375" style="61" customWidth="1"/>
    <col min="3084" max="3328" width="12.6640625" style="61"/>
    <col min="3329" max="3329" width="7.88671875" style="61" customWidth="1"/>
    <col min="3330" max="3330" width="51.44140625" style="61" customWidth="1"/>
    <col min="3331" max="3331" width="15.88671875" style="61" customWidth="1"/>
    <col min="3332" max="3332" width="7.77734375" style="61" customWidth="1"/>
    <col min="3333" max="3333" width="13.109375" style="61" customWidth="1"/>
    <col min="3334" max="3334" width="13.77734375" style="61" customWidth="1"/>
    <col min="3335" max="3335" width="16.77734375" style="61" customWidth="1"/>
    <col min="3336" max="3336" width="7.44140625" style="61" customWidth="1"/>
    <col min="3337" max="3337" width="15.21875" style="61" customWidth="1"/>
    <col min="3338" max="3338" width="19.88671875" style="61" customWidth="1"/>
    <col min="3339" max="3339" width="10.77734375" style="61" customWidth="1"/>
    <col min="3340" max="3584" width="12.6640625" style="61"/>
    <col min="3585" max="3585" width="7.88671875" style="61" customWidth="1"/>
    <col min="3586" max="3586" width="51.44140625" style="61" customWidth="1"/>
    <col min="3587" max="3587" width="15.88671875" style="61" customWidth="1"/>
    <col min="3588" max="3588" width="7.77734375" style="61" customWidth="1"/>
    <col min="3589" max="3589" width="13.109375" style="61" customWidth="1"/>
    <col min="3590" max="3590" width="13.77734375" style="61" customWidth="1"/>
    <col min="3591" max="3591" width="16.77734375" style="61" customWidth="1"/>
    <col min="3592" max="3592" width="7.44140625" style="61" customWidth="1"/>
    <col min="3593" max="3593" width="15.21875" style="61" customWidth="1"/>
    <col min="3594" max="3594" width="19.88671875" style="61" customWidth="1"/>
    <col min="3595" max="3595" width="10.77734375" style="61" customWidth="1"/>
    <col min="3596" max="3840" width="12.6640625" style="61"/>
    <col min="3841" max="3841" width="7.88671875" style="61" customWidth="1"/>
    <col min="3842" max="3842" width="51.44140625" style="61" customWidth="1"/>
    <col min="3843" max="3843" width="15.88671875" style="61" customWidth="1"/>
    <col min="3844" max="3844" width="7.77734375" style="61" customWidth="1"/>
    <col min="3845" max="3845" width="13.109375" style="61" customWidth="1"/>
    <col min="3846" max="3846" width="13.77734375" style="61" customWidth="1"/>
    <col min="3847" max="3847" width="16.77734375" style="61" customWidth="1"/>
    <col min="3848" max="3848" width="7.44140625" style="61" customWidth="1"/>
    <col min="3849" max="3849" width="15.21875" style="61" customWidth="1"/>
    <col min="3850" max="3850" width="19.88671875" style="61" customWidth="1"/>
    <col min="3851" max="3851" width="10.77734375" style="61" customWidth="1"/>
    <col min="3852" max="4096" width="12.6640625" style="61"/>
    <col min="4097" max="4097" width="7.88671875" style="61" customWidth="1"/>
    <col min="4098" max="4098" width="51.44140625" style="61" customWidth="1"/>
    <col min="4099" max="4099" width="15.88671875" style="61" customWidth="1"/>
    <col min="4100" max="4100" width="7.77734375" style="61" customWidth="1"/>
    <col min="4101" max="4101" width="13.109375" style="61" customWidth="1"/>
    <col min="4102" max="4102" width="13.77734375" style="61" customWidth="1"/>
    <col min="4103" max="4103" width="16.77734375" style="61" customWidth="1"/>
    <col min="4104" max="4104" width="7.44140625" style="61" customWidth="1"/>
    <col min="4105" max="4105" width="15.21875" style="61" customWidth="1"/>
    <col min="4106" max="4106" width="19.88671875" style="61" customWidth="1"/>
    <col min="4107" max="4107" width="10.77734375" style="61" customWidth="1"/>
    <col min="4108" max="4352" width="12.6640625" style="61"/>
    <col min="4353" max="4353" width="7.88671875" style="61" customWidth="1"/>
    <col min="4354" max="4354" width="51.44140625" style="61" customWidth="1"/>
    <col min="4355" max="4355" width="15.88671875" style="61" customWidth="1"/>
    <col min="4356" max="4356" width="7.77734375" style="61" customWidth="1"/>
    <col min="4357" max="4357" width="13.109375" style="61" customWidth="1"/>
    <col min="4358" max="4358" width="13.77734375" style="61" customWidth="1"/>
    <col min="4359" max="4359" width="16.77734375" style="61" customWidth="1"/>
    <col min="4360" max="4360" width="7.44140625" style="61" customWidth="1"/>
    <col min="4361" max="4361" width="15.21875" style="61" customWidth="1"/>
    <col min="4362" max="4362" width="19.88671875" style="61" customWidth="1"/>
    <col min="4363" max="4363" width="10.77734375" style="61" customWidth="1"/>
    <col min="4364" max="4608" width="12.6640625" style="61"/>
    <col min="4609" max="4609" width="7.88671875" style="61" customWidth="1"/>
    <col min="4610" max="4610" width="51.44140625" style="61" customWidth="1"/>
    <col min="4611" max="4611" width="15.88671875" style="61" customWidth="1"/>
    <col min="4612" max="4612" width="7.77734375" style="61" customWidth="1"/>
    <col min="4613" max="4613" width="13.109375" style="61" customWidth="1"/>
    <col min="4614" max="4614" width="13.77734375" style="61" customWidth="1"/>
    <col min="4615" max="4615" width="16.77734375" style="61" customWidth="1"/>
    <col min="4616" max="4616" width="7.44140625" style="61" customWidth="1"/>
    <col min="4617" max="4617" width="15.21875" style="61" customWidth="1"/>
    <col min="4618" max="4618" width="19.88671875" style="61" customWidth="1"/>
    <col min="4619" max="4619" width="10.77734375" style="61" customWidth="1"/>
    <col min="4620" max="4864" width="12.6640625" style="61"/>
    <col min="4865" max="4865" width="7.88671875" style="61" customWidth="1"/>
    <col min="4866" max="4866" width="51.44140625" style="61" customWidth="1"/>
    <col min="4867" max="4867" width="15.88671875" style="61" customWidth="1"/>
    <col min="4868" max="4868" width="7.77734375" style="61" customWidth="1"/>
    <col min="4869" max="4869" width="13.109375" style="61" customWidth="1"/>
    <col min="4870" max="4870" width="13.77734375" style="61" customWidth="1"/>
    <col min="4871" max="4871" width="16.77734375" style="61" customWidth="1"/>
    <col min="4872" max="4872" width="7.44140625" style="61" customWidth="1"/>
    <col min="4873" max="4873" width="15.21875" style="61" customWidth="1"/>
    <col min="4874" max="4874" width="19.88671875" style="61" customWidth="1"/>
    <col min="4875" max="4875" width="10.77734375" style="61" customWidth="1"/>
    <col min="4876" max="5120" width="12.6640625" style="61"/>
    <col min="5121" max="5121" width="7.88671875" style="61" customWidth="1"/>
    <col min="5122" max="5122" width="51.44140625" style="61" customWidth="1"/>
    <col min="5123" max="5123" width="15.88671875" style="61" customWidth="1"/>
    <col min="5124" max="5124" width="7.77734375" style="61" customWidth="1"/>
    <col min="5125" max="5125" width="13.109375" style="61" customWidth="1"/>
    <col min="5126" max="5126" width="13.77734375" style="61" customWidth="1"/>
    <col min="5127" max="5127" width="16.77734375" style="61" customWidth="1"/>
    <col min="5128" max="5128" width="7.44140625" style="61" customWidth="1"/>
    <col min="5129" max="5129" width="15.21875" style="61" customWidth="1"/>
    <col min="5130" max="5130" width="19.88671875" style="61" customWidth="1"/>
    <col min="5131" max="5131" width="10.77734375" style="61" customWidth="1"/>
    <col min="5132" max="5376" width="12.6640625" style="61"/>
    <col min="5377" max="5377" width="7.88671875" style="61" customWidth="1"/>
    <col min="5378" max="5378" width="51.44140625" style="61" customWidth="1"/>
    <col min="5379" max="5379" width="15.88671875" style="61" customWidth="1"/>
    <col min="5380" max="5380" width="7.77734375" style="61" customWidth="1"/>
    <col min="5381" max="5381" width="13.109375" style="61" customWidth="1"/>
    <col min="5382" max="5382" width="13.77734375" style="61" customWidth="1"/>
    <col min="5383" max="5383" width="16.77734375" style="61" customWidth="1"/>
    <col min="5384" max="5384" width="7.44140625" style="61" customWidth="1"/>
    <col min="5385" max="5385" width="15.21875" style="61" customWidth="1"/>
    <col min="5386" max="5386" width="19.88671875" style="61" customWidth="1"/>
    <col min="5387" max="5387" width="10.77734375" style="61" customWidth="1"/>
    <col min="5388" max="5632" width="12.6640625" style="61"/>
    <col min="5633" max="5633" width="7.88671875" style="61" customWidth="1"/>
    <col min="5634" max="5634" width="51.44140625" style="61" customWidth="1"/>
    <col min="5635" max="5635" width="15.88671875" style="61" customWidth="1"/>
    <col min="5636" max="5636" width="7.77734375" style="61" customWidth="1"/>
    <col min="5637" max="5637" width="13.109375" style="61" customWidth="1"/>
    <col min="5638" max="5638" width="13.77734375" style="61" customWidth="1"/>
    <col min="5639" max="5639" width="16.77734375" style="61" customWidth="1"/>
    <col min="5640" max="5640" width="7.44140625" style="61" customWidth="1"/>
    <col min="5641" max="5641" width="15.21875" style="61" customWidth="1"/>
    <col min="5642" max="5642" width="19.88671875" style="61" customWidth="1"/>
    <col min="5643" max="5643" width="10.77734375" style="61" customWidth="1"/>
    <col min="5644" max="5888" width="12.6640625" style="61"/>
    <col min="5889" max="5889" width="7.88671875" style="61" customWidth="1"/>
    <col min="5890" max="5890" width="51.44140625" style="61" customWidth="1"/>
    <col min="5891" max="5891" width="15.88671875" style="61" customWidth="1"/>
    <col min="5892" max="5892" width="7.77734375" style="61" customWidth="1"/>
    <col min="5893" max="5893" width="13.109375" style="61" customWidth="1"/>
    <col min="5894" max="5894" width="13.77734375" style="61" customWidth="1"/>
    <col min="5895" max="5895" width="16.77734375" style="61" customWidth="1"/>
    <col min="5896" max="5896" width="7.44140625" style="61" customWidth="1"/>
    <col min="5897" max="5897" width="15.21875" style="61" customWidth="1"/>
    <col min="5898" max="5898" width="19.88671875" style="61" customWidth="1"/>
    <col min="5899" max="5899" width="10.77734375" style="61" customWidth="1"/>
    <col min="5900" max="6144" width="12.6640625" style="61"/>
    <col min="6145" max="6145" width="7.88671875" style="61" customWidth="1"/>
    <col min="6146" max="6146" width="51.44140625" style="61" customWidth="1"/>
    <col min="6147" max="6147" width="15.88671875" style="61" customWidth="1"/>
    <col min="6148" max="6148" width="7.77734375" style="61" customWidth="1"/>
    <col min="6149" max="6149" width="13.109375" style="61" customWidth="1"/>
    <col min="6150" max="6150" width="13.77734375" style="61" customWidth="1"/>
    <col min="6151" max="6151" width="16.77734375" style="61" customWidth="1"/>
    <col min="6152" max="6152" width="7.44140625" style="61" customWidth="1"/>
    <col min="6153" max="6153" width="15.21875" style="61" customWidth="1"/>
    <col min="6154" max="6154" width="19.88671875" style="61" customWidth="1"/>
    <col min="6155" max="6155" width="10.77734375" style="61" customWidth="1"/>
    <col min="6156" max="6400" width="12.6640625" style="61"/>
    <col min="6401" max="6401" width="7.88671875" style="61" customWidth="1"/>
    <col min="6402" max="6402" width="51.44140625" style="61" customWidth="1"/>
    <col min="6403" max="6403" width="15.88671875" style="61" customWidth="1"/>
    <col min="6404" max="6404" width="7.77734375" style="61" customWidth="1"/>
    <col min="6405" max="6405" width="13.109375" style="61" customWidth="1"/>
    <col min="6406" max="6406" width="13.77734375" style="61" customWidth="1"/>
    <col min="6407" max="6407" width="16.77734375" style="61" customWidth="1"/>
    <col min="6408" max="6408" width="7.44140625" style="61" customWidth="1"/>
    <col min="6409" max="6409" width="15.21875" style="61" customWidth="1"/>
    <col min="6410" max="6410" width="19.88671875" style="61" customWidth="1"/>
    <col min="6411" max="6411" width="10.77734375" style="61" customWidth="1"/>
    <col min="6412" max="6656" width="12.6640625" style="61"/>
    <col min="6657" max="6657" width="7.88671875" style="61" customWidth="1"/>
    <col min="6658" max="6658" width="51.44140625" style="61" customWidth="1"/>
    <col min="6659" max="6659" width="15.88671875" style="61" customWidth="1"/>
    <col min="6660" max="6660" width="7.77734375" style="61" customWidth="1"/>
    <col min="6661" max="6661" width="13.109375" style="61" customWidth="1"/>
    <col min="6662" max="6662" width="13.77734375" style="61" customWidth="1"/>
    <col min="6663" max="6663" width="16.77734375" style="61" customWidth="1"/>
    <col min="6664" max="6664" width="7.44140625" style="61" customWidth="1"/>
    <col min="6665" max="6665" width="15.21875" style="61" customWidth="1"/>
    <col min="6666" max="6666" width="19.88671875" style="61" customWidth="1"/>
    <col min="6667" max="6667" width="10.77734375" style="61" customWidth="1"/>
    <col min="6668" max="6912" width="12.6640625" style="61"/>
    <col min="6913" max="6913" width="7.88671875" style="61" customWidth="1"/>
    <col min="6914" max="6914" width="51.44140625" style="61" customWidth="1"/>
    <col min="6915" max="6915" width="15.88671875" style="61" customWidth="1"/>
    <col min="6916" max="6916" width="7.77734375" style="61" customWidth="1"/>
    <col min="6917" max="6917" width="13.109375" style="61" customWidth="1"/>
    <col min="6918" max="6918" width="13.77734375" style="61" customWidth="1"/>
    <col min="6919" max="6919" width="16.77734375" style="61" customWidth="1"/>
    <col min="6920" max="6920" width="7.44140625" style="61" customWidth="1"/>
    <col min="6921" max="6921" width="15.21875" style="61" customWidth="1"/>
    <col min="6922" max="6922" width="19.88671875" style="61" customWidth="1"/>
    <col min="6923" max="6923" width="10.77734375" style="61" customWidth="1"/>
    <col min="6924" max="7168" width="12.6640625" style="61"/>
    <col min="7169" max="7169" width="7.88671875" style="61" customWidth="1"/>
    <col min="7170" max="7170" width="51.44140625" style="61" customWidth="1"/>
    <col min="7171" max="7171" width="15.88671875" style="61" customWidth="1"/>
    <col min="7172" max="7172" width="7.77734375" style="61" customWidth="1"/>
    <col min="7173" max="7173" width="13.109375" style="61" customWidth="1"/>
    <col min="7174" max="7174" width="13.77734375" style="61" customWidth="1"/>
    <col min="7175" max="7175" width="16.77734375" style="61" customWidth="1"/>
    <col min="7176" max="7176" width="7.44140625" style="61" customWidth="1"/>
    <col min="7177" max="7177" width="15.21875" style="61" customWidth="1"/>
    <col min="7178" max="7178" width="19.88671875" style="61" customWidth="1"/>
    <col min="7179" max="7179" width="10.77734375" style="61" customWidth="1"/>
    <col min="7180" max="7424" width="12.6640625" style="61"/>
    <col min="7425" max="7425" width="7.88671875" style="61" customWidth="1"/>
    <col min="7426" max="7426" width="51.44140625" style="61" customWidth="1"/>
    <col min="7427" max="7427" width="15.88671875" style="61" customWidth="1"/>
    <col min="7428" max="7428" width="7.77734375" style="61" customWidth="1"/>
    <col min="7429" max="7429" width="13.109375" style="61" customWidth="1"/>
    <col min="7430" max="7430" width="13.77734375" style="61" customWidth="1"/>
    <col min="7431" max="7431" width="16.77734375" style="61" customWidth="1"/>
    <col min="7432" max="7432" width="7.44140625" style="61" customWidth="1"/>
    <col min="7433" max="7433" width="15.21875" style="61" customWidth="1"/>
    <col min="7434" max="7434" width="19.88671875" style="61" customWidth="1"/>
    <col min="7435" max="7435" width="10.77734375" style="61" customWidth="1"/>
    <col min="7436" max="7680" width="12.6640625" style="61"/>
    <col min="7681" max="7681" width="7.88671875" style="61" customWidth="1"/>
    <col min="7682" max="7682" width="51.44140625" style="61" customWidth="1"/>
    <col min="7683" max="7683" width="15.88671875" style="61" customWidth="1"/>
    <col min="7684" max="7684" width="7.77734375" style="61" customWidth="1"/>
    <col min="7685" max="7685" width="13.109375" style="61" customWidth="1"/>
    <col min="7686" max="7686" width="13.77734375" style="61" customWidth="1"/>
    <col min="7687" max="7687" width="16.77734375" style="61" customWidth="1"/>
    <col min="7688" max="7688" width="7.44140625" style="61" customWidth="1"/>
    <col min="7689" max="7689" width="15.21875" style="61" customWidth="1"/>
    <col min="7690" max="7690" width="19.88671875" style="61" customWidth="1"/>
    <col min="7691" max="7691" width="10.77734375" style="61" customWidth="1"/>
    <col min="7692" max="7936" width="12.6640625" style="61"/>
    <col min="7937" max="7937" width="7.88671875" style="61" customWidth="1"/>
    <col min="7938" max="7938" width="51.44140625" style="61" customWidth="1"/>
    <col min="7939" max="7939" width="15.88671875" style="61" customWidth="1"/>
    <col min="7940" max="7940" width="7.77734375" style="61" customWidth="1"/>
    <col min="7941" max="7941" width="13.109375" style="61" customWidth="1"/>
    <col min="7942" max="7942" width="13.77734375" style="61" customWidth="1"/>
    <col min="7943" max="7943" width="16.77734375" style="61" customWidth="1"/>
    <col min="7944" max="7944" width="7.44140625" style="61" customWidth="1"/>
    <col min="7945" max="7945" width="15.21875" style="61" customWidth="1"/>
    <col min="7946" max="7946" width="19.88671875" style="61" customWidth="1"/>
    <col min="7947" max="7947" width="10.77734375" style="61" customWidth="1"/>
    <col min="7948" max="8192" width="12.6640625" style="61"/>
    <col min="8193" max="8193" width="7.88671875" style="61" customWidth="1"/>
    <col min="8194" max="8194" width="51.44140625" style="61" customWidth="1"/>
    <col min="8195" max="8195" width="15.88671875" style="61" customWidth="1"/>
    <col min="8196" max="8196" width="7.77734375" style="61" customWidth="1"/>
    <col min="8197" max="8197" width="13.109375" style="61" customWidth="1"/>
    <col min="8198" max="8198" width="13.77734375" style="61" customWidth="1"/>
    <col min="8199" max="8199" width="16.77734375" style="61" customWidth="1"/>
    <col min="8200" max="8200" width="7.44140625" style="61" customWidth="1"/>
    <col min="8201" max="8201" width="15.21875" style="61" customWidth="1"/>
    <col min="8202" max="8202" width="19.88671875" style="61" customWidth="1"/>
    <col min="8203" max="8203" width="10.77734375" style="61" customWidth="1"/>
    <col min="8204" max="8448" width="12.6640625" style="61"/>
    <col min="8449" max="8449" width="7.88671875" style="61" customWidth="1"/>
    <col min="8450" max="8450" width="51.44140625" style="61" customWidth="1"/>
    <col min="8451" max="8451" width="15.88671875" style="61" customWidth="1"/>
    <col min="8452" max="8452" width="7.77734375" style="61" customWidth="1"/>
    <col min="8453" max="8453" width="13.109375" style="61" customWidth="1"/>
    <col min="8454" max="8454" width="13.77734375" style="61" customWidth="1"/>
    <col min="8455" max="8455" width="16.77734375" style="61" customWidth="1"/>
    <col min="8456" max="8456" width="7.44140625" style="61" customWidth="1"/>
    <col min="8457" max="8457" width="15.21875" style="61" customWidth="1"/>
    <col min="8458" max="8458" width="19.88671875" style="61" customWidth="1"/>
    <col min="8459" max="8459" width="10.77734375" style="61" customWidth="1"/>
    <col min="8460" max="8704" width="12.6640625" style="61"/>
    <col min="8705" max="8705" width="7.88671875" style="61" customWidth="1"/>
    <col min="8706" max="8706" width="51.44140625" style="61" customWidth="1"/>
    <col min="8707" max="8707" width="15.88671875" style="61" customWidth="1"/>
    <col min="8708" max="8708" width="7.77734375" style="61" customWidth="1"/>
    <col min="8709" max="8709" width="13.109375" style="61" customWidth="1"/>
    <col min="8710" max="8710" width="13.77734375" style="61" customWidth="1"/>
    <col min="8711" max="8711" width="16.77734375" style="61" customWidth="1"/>
    <col min="8712" max="8712" width="7.44140625" style="61" customWidth="1"/>
    <col min="8713" max="8713" width="15.21875" style="61" customWidth="1"/>
    <col min="8714" max="8714" width="19.88671875" style="61" customWidth="1"/>
    <col min="8715" max="8715" width="10.77734375" style="61" customWidth="1"/>
    <col min="8716" max="8960" width="12.6640625" style="61"/>
    <col min="8961" max="8961" width="7.88671875" style="61" customWidth="1"/>
    <col min="8962" max="8962" width="51.44140625" style="61" customWidth="1"/>
    <col min="8963" max="8963" width="15.88671875" style="61" customWidth="1"/>
    <col min="8964" max="8964" width="7.77734375" style="61" customWidth="1"/>
    <col min="8965" max="8965" width="13.109375" style="61" customWidth="1"/>
    <col min="8966" max="8966" width="13.77734375" style="61" customWidth="1"/>
    <col min="8967" max="8967" width="16.77734375" style="61" customWidth="1"/>
    <col min="8968" max="8968" width="7.44140625" style="61" customWidth="1"/>
    <col min="8969" max="8969" width="15.21875" style="61" customWidth="1"/>
    <col min="8970" max="8970" width="19.88671875" style="61" customWidth="1"/>
    <col min="8971" max="8971" width="10.77734375" style="61" customWidth="1"/>
    <col min="8972" max="9216" width="12.6640625" style="61"/>
    <col min="9217" max="9217" width="7.88671875" style="61" customWidth="1"/>
    <col min="9218" max="9218" width="51.44140625" style="61" customWidth="1"/>
    <col min="9219" max="9219" width="15.88671875" style="61" customWidth="1"/>
    <col min="9220" max="9220" width="7.77734375" style="61" customWidth="1"/>
    <col min="9221" max="9221" width="13.109375" style="61" customWidth="1"/>
    <col min="9222" max="9222" width="13.77734375" style="61" customWidth="1"/>
    <col min="9223" max="9223" width="16.77734375" style="61" customWidth="1"/>
    <col min="9224" max="9224" width="7.44140625" style="61" customWidth="1"/>
    <col min="9225" max="9225" width="15.21875" style="61" customWidth="1"/>
    <col min="9226" max="9226" width="19.88671875" style="61" customWidth="1"/>
    <col min="9227" max="9227" width="10.77734375" style="61" customWidth="1"/>
    <col min="9228" max="9472" width="12.6640625" style="61"/>
    <col min="9473" max="9473" width="7.88671875" style="61" customWidth="1"/>
    <col min="9474" max="9474" width="51.44140625" style="61" customWidth="1"/>
    <col min="9475" max="9475" width="15.88671875" style="61" customWidth="1"/>
    <col min="9476" max="9476" width="7.77734375" style="61" customWidth="1"/>
    <col min="9477" max="9477" width="13.109375" style="61" customWidth="1"/>
    <col min="9478" max="9478" width="13.77734375" style="61" customWidth="1"/>
    <col min="9479" max="9479" width="16.77734375" style="61" customWidth="1"/>
    <col min="9480" max="9480" width="7.44140625" style="61" customWidth="1"/>
    <col min="9481" max="9481" width="15.21875" style="61" customWidth="1"/>
    <col min="9482" max="9482" width="19.88671875" style="61" customWidth="1"/>
    <col min="9483" max="9483" width="10.77734375" style="61" customWidth="1"/>
    <col min="9484" max="9728" width="12.6640625" style="61"/>
    <col min="9729" max="9729" width="7.88671875" style="61" customWidth="1"/>
    <col min="9730" max="9730" width="51.44140625" style="61" customWidth="1"/>
    <col min="9731" max="9731" width="15.88671875" style="61" customWidth="1"/>
    <col min="9732" max="9732" width="7.77734375" style="61" customWidth="1"/>
    <col min="9733" max="9733" width="13.109375" style="61" customWidth="1"/>
    <col min="9734" max="9734" width="13.77734375" style="61" customWidth="1"/>
    <col min="9735" max="9735" width="16.77734375" style="61" customWidth="1"/>
    <col min="9736" max="9736" width="7.44140625" style="61" customWidth="1"/>
    <col min="9737" max="9737" width="15.21875" style="61" customWidth="1"/>
    <col min="9738" max="9738" width="19.88671875" style="61" customWidth="1"/>
    <col min="9739" max="9739" width="10.77734375" style="61" customWidth="1"/>
    <col min="9740" max="9984" width="12.6640625" style="61"/>
    <col min="9985" max="9985" width="7.88671875" style="61" customWidth="1"/>
    <col min="9986" max="9986" width="51.44140625" style="61" customWidth="1"/>
    <col min="9987" max="9987" width="15.88671875" style="61" customWidth="1"/>
    <col min="9988" max="9988" width="7.77734375" style="61" customWidth="1"/>
    <col min="9989" max="9989" width="13.109375" style="61" customWidth="1"/>
    <col min="9990" max="9990" width="13.77734375" style="61" customWidth="1"/>
    <col min="9991" max="9991" width="16.77734375" style="61" customWidth="1"/>
    <col min="9992" max="9992" width="7.44140625" style="61" customWidth="1"/>
    <col min="9993" max="9993" width="15.21875" style="61" customWidth="1"/>
    <col min="9994" max="9994" width="19.88671875" style="61" customWidth="1"/>
    <col min="9995" max="9995" width="10.77734375" style="61" customWidth="1"/>
    <col min="9996" max="10240" width="12.6640625" style="61"/>
    <col min="10241" max="10241" width="7.88671875" style="61" customWidth="1"/>
    <col min="10242" max="10242" width="51.44140625" style="61" customWidth="1"/>
    <col min="10243" max="10243" width="15.88671875" style="61" customWidth="1"/>
    <col min="10244" max="10244" width="7.77734375" style="61" customWidth="1"/>
    <col min="10245" max="10245" width="13.109375" style="61" customWidth="1"/>
    <col min="10246" max="10246" width="13.77734375" style="61" customWidth="1"/>
    <col min="10247" max="10247" width="16.77734375" style="61" customWidth="1"/>
    <col min="10248" max="10248" width="7.44140625" style="61" customWidth="1"/>
    <col min="10249" max="10249" width="15.21875" style="61" customWidth="1"/>
    <col min="10250" max="10250" width="19.88671875" style="61" customWidth="1"/>
    <col min="10251" max="10251" width="10.77734375" style="61" customWidth="1"/>
    <col min="10252" max="10496" width="12.6640625" style="61"/>
    <col min="10497" max="10497" width="7.88671875" style="61" customWidth="1"/>
    <col min="10498" max="10498" width="51.44140625" style="61" customWidth="1"/>
    <col min="10499" max="10499" width="15.88671875" style="61" customWidth="1"/>
    <col min="10500" max="10500" width="7.77734375" style="61" customWidth="1"/>
    <col min="10501" max="10501" width="13.109375" style="61" customWidth="1"/>
    <col min="10502" max="10502" width="13.77734375" style="61" customWidth="1"/>
    <col min="10503" max="10503" width="16.77734375" style="61" customWidth="1"/>
    <col min="10504" max="10504" width="7.44140625" style="61" customWidth="1"/>
    <col min="10505" max="10505" width="15.21875" style="61" customWidth="1"/>
    <col min="10506" max="10506" width="19.88671875" style="61" customWidth="1"/>
    <col min="10507" max="10507" width="10.77734375" style="61" customWidth="1"/>
    <col min="10508" max="10752" width="12.6640625" style="61"/>
    <col min="10753" max="10753" width="7.88671875" style="61" customWidth="1"/>
    <col min="10754" max="10754" width="51.44140625" style="61" customWidth="1"/>
    <col min="10755" max="10755" width="15.88671875" style="61" customWidth="1"/>
    <col min="10756" max="10756" width="7.77734375" style="61" customWidth="1"/>
    <col min="10757" max="10757" width="13.109375" style="61" customWidth="1"/>
    <col min="10758" max="10758" width="13.77734375" style="61" customWidth="1"/>
    <col min="10759" max="10759" width="16.77734375" style="61" customWidth="1"/>
    <col min="10760" max="10760" width="7.44140625" style="61" customWidth="1"/>
    <col min="10761" max="10761" width="15.21875" style="61" customWidth="1"/>
    <col min="10762" max="10762" width="19.88671875" style="61" customWidth="1"/>
    <col min="10763" max="10763" width="10.77734375" style="61" customWidth="1"/>
    <col min="10764" max="11008" width="12.6640625" style="61"/>
    <col min="11009" max="11009" width="7.88671875" style="61" customWidth="1"/>
    <col min="11010" max="11010" width="51.44140625" style="61" customWidth="1"/>
    <col min="11011" max="11011" width="15.88671875" style="61" customWidth="1"/>
    <col min="11012" max="11012" width="7.77734375" style="61" customWidth="1"/>
    <col min="11013" max="11013" width="13.109375" style="61" customWidth="1"/>
    <col min="11014" max="11014" width="13.77734375" style="61" customWidth="1"/>
    <col min="11015" max="11015" width="16.77734375" style="61" customWidth="1"/>
    <col min="11016" max="11016" width="7.44140625" style="61" customWidth="1"/>
    <col min="11017" max="11017" width="15.21875" style="61" customWidth="1"/>
    <col min="11018" max="11018" width="19.88671875" style="61" customWidth="1"/>
    <col min="11019" max="11019" width="10.77734375" style="61" customWidth="1"/>
    <col min="11020" max="11264" width="12.6640625" style="61"/>
    <col min="11265" max="11265" width="7.88671875" style="61" customWidth="1"/>
    <col min="11266" max="11266" width="51.44140625" style="61" customWidth="1"/>
    <col min="11267" max="11267" width="15.88671875" style="61" customWidth="1"/>
    <col min="11268" max="11268" width="7.77734375" style="61" customWidth="1"/>
    <col min="11269" max="11269" width="13.109375" style="61" customWidth="1"/>
    <col min="11270" max="11270" width="13.77734375" style="61" customWidth="1"/>
    <col min="11271" max="11271" width="16.77734375" style="61" customWidth="1"/>
    <col min="11272" max="11272" width="7.44140625" style="61" customWidth="1"/>
    <col min="11273" max="11273" width="15.21875" style="61" customWidth="1"/>
    <col min="11274" max="11274" width="19.88671875" style="61" customWidth="1"/>
    <col min="11275" max="11275" width="10.77734375" style="61" customWidth="1"/>
    <col min="11276" max="11520" width="12.6640625" style="61"/>
    <col min="11521" max="11521" width="7.88671875" style="61" customWidth="1"/>
    <col min="11522" max="11522" width="51.44140625" style="61" customWidth="1"/>
    <col min="11523" max="11523" width="15.88671875" style="61" customWidth="1"/>
    <col min="11524" max="11524" width="7.77734375" style="61" customWidth="1"/>
    <col min="11525" max="11525" width="13.109375" style="61" customWidth="1"/>
    <col min="11526" max="11526" width="13.77734375" style="61" customWidth="1"/>
    <col min="11527" max="11527" width="16.77734375" style="61" customWidth="1"/>
    <col min="11528" max="11528" width="7.44140625" style="61" customWidth="1"/>
    <col min="11529" max="11529" width="15.21875" style="61" customWidth="1"/>
    <col min="11530" max="11530" width="19.88671875" style="61" customWidth="1"/>
    <col min="11531" max="11531" width="10.77734375" style="61" customWidth="1"/>
    <col min="11532" max="11776" width="12.6640625" style="61"/>
    <col min="11777" max="11777" width="7.88671875" style="61" customWidth="1"/>
    <col min="11778" max="11778" width="51.44140625" style="61" customWidth="1"/>
    <col min="11779" max="11779" width="15.88671875" style="61" customWidth="1"/>
    <col min="11780" max="11780" width="7.77734375" style="61" customWidth="1"/>
    <col min="11781" max="11781" width="13.109375" style="61" customWidth="1"/>
    <col min="11782" max="11782" width="13.77734375" style="61" customWidth="1"/>
    <col min="11783" max="11783" width="16.77734375" style="61" customWidth="1"/>
    <col min="11784" max="11784" width="7.44140625" style="61" customWidth="1"/>
    <col min="11785" max="11785" width="15.21875" style="61" customWidth="1"/>
    <col min="11786" max="11786" width="19.88671875" style="61" customWidth="1"/>
    <col min="11787" max="11787" width="10.77734375" style="61" customWidth="1"/>
    <col min="11788" max="12032" width="12.6640625" style="61"/>
    <col min="12033" max="12033" width="7.88671875" style="61" customWidth="1"/>
    <col min="12034" max="12034" width="51.44140625" style="61" customWidth="1"/>
    <col min="12035" max="12035" width="15.88671875" style="61" customWidth="1"/>
    <col min="12036" max="12036" width="7.77734375" style="61" customWidth="1"/>
    <col min="12037" max="12037" width="13.109375" style="61" customWidth="1"/>
    <col min="12038" max="12038" width="13.77734375" style="61" customWidth="1"/>
    <col min="12039" max="12039" width="16.77734375" style="61" customWidth="1"/>
    <col min="12040" max="12040" width="7.44140625" style="61" customWidth="1"/>
    <col min="12041" max="12041" width="15.21875" style="61" customWidth="1"/>
    <col min="12042" max="12042" width="19.88671875" style="61" customWidth="1"/>
    <col min="12043" max="12043" width="10.77734375" style="61" customWidth="1"/>
    <col min="12044" max="12288" width="12.6640625" style="61"/>
    <col min="12289" max="12289" width="7.88671875" style="61" customWidth="1"/>
    <col min="12290" max="12290" width="51.44140625" style="61" customWidth="1"/>
    <col min="12291" max="12291" width="15.88671875" style="61" customWidth="1"/>
    <col min="12292" max="12292" width="7.77734375" style="61" customWidth="1"/>
    <col min="12293" max="12293" width="13.109375" style="61" customWidth="1"/>
    <col min="12294" max="12294" width="13.77734375" style="61" customWidth="1"/>
    <col min="12295" max="12295" width="16.77734375" style="61" customWidth="1"/>
    <col min="12296" max="12296" width="7.44140625" style="61" customWidth="1"/>
    <col min="12297" max="12297" width="15.21875" style="61" customWidth="1"/>
    <col min="12298" max="12298" width="19.88671875" style="61" customWidth="1"/>
    <col min="12299" max="12299" width="10.77734375" style="61" customWidth="1"/>
    <col min="12300" max="12544" width="12.6640625" style="61"/>
    <col min="12545" max="12545" width="7.88671875" style="61" customWidth="1"/>
    <col min="12546" max="12546" width="51.44140625" style="61" customWidth="1"/>
    <col min="12547" max="12547" width="15.88671875" style="61" customWidth="1"/>
    <col min="12548" max="12548" width="7.77734375" style="61" customWidth="1"/>
    <col min="12549" max="12549" width="13.109375" style="61" customWidth="1"/>
    <col min="12550" max="12550" width="13.77734375" style="61" customWidth="1"/>
    <col min="12551" max="12551" width="16.77734375" style="61" customWidth="1"/>
    <col min="12552" max="12552" width="7.44140625" style="61" customWidth="1"/>
    <col min="12553" max="12553" width="15.21875" style="61" customWidth="1"/>
    <col min="12554" max="12554" width="19.88671875" style="61" customWidth="1"/>
    <col min="12555" max="12555" width="10.77734375" style="61" customWidth="1"/>
    <col min="12556" max="12800" width="12.6640625" style="61"/>
    <col min="12801" max="12801" width="7.88671875" style="61" customWidth="1"/>
    <col min="12802" max="12802" width="51.44140625" style="61" customWidth="1"/>
    <col min="12803" max="12803" width="15.88671875" style="61" customWidth="1"/>
    <col min="12804" max="12804" width="7.77734375" style="61" customWidth="1"/>
    <col min="12805" max="12805" width="13.109375" style="61" customWidth="1"/>
    <col min="12806" max="12806" width="13.77734375" style="61" customWidth="1"/>
    <col min="12807" max="12807" width="16.77734375" style="61" customWidth="1"/>
    <col min="12808" max="12808" width="7.44140625" style="61" customWidth="1"/>
    <col min="12809" max="12809" width="15.21875" style="61" customWidth="1"/>
    <col min="12810" max="12810" width="19.88671875" style="61" customWidth="1"/>
    <col min="12811" max="12811" width="10.77734375" style="61" customWidth="1"/>
    <col min="12812" max="13056" width="12.6640625" style="61"/>
    <col min="13057" max="13057" width="7.88671875" style="61" customWidth="1"/>
    <col min="13058" max="13058" width="51.44140625" style="61" customWidth="1"/>
    <col min="13059" max="13059" width="15.88671875" style="61" customWidth="1"/>
    <col min="13060" max="13060" width="7.77734375" style="61" customWidth="1"/>
    <col min="13061" max="13061" width="13.109375" style="61" customWidth="1"/>
    <col min="13062" max="13062" width="13.77734375" style="61" customWidth="1"/>
    <col min="13063" max="13063" width="16.77734375" style="61" customWidth="1"/>
    <col min="13064" max="13064" width="7.44140625" style="61" customWidth="1"/>
    <col min="13065" max="13065" width="15.21875" style="61" customWidth="1"/>
    <col min="13066" max="13066" width="19.88671875" style="61" customWidth="1"/>
    <col min="13067" max="13067" width="10.77734375" style="61" customWidth="1"/>
    <col min="13068" max="13312" width="12.6640625" style="61"/>
    <col min="13313" max="13313" width="7.88671875" style="61" customWidth="1"/>
    <col min="13314" max="13314" width="51.44140625" style="61" customWidth="1"/>
    <col min="13315" max="13315" width="15.88671875" style="61" customWidth="1"/>
    <col min="13316" max="13316" width="7.77734375" style="61" customWidth="1"/>
    <col min="13317" max="13317" width="13.109375" style="61" customWidth="1"/>
    <col min="13318" max="13318" width="13.77734375" style="61" customWidth="1"/>
    <col min="13319" max="13319" width="16.77734375" style="61" customWidth="1"/>
    <col min="13320" max="13320" width="7.44140625" style="61" customWidth="1"/>
    <col min="13321" max="13321" width="15.21875" style="61" customWidth="1"/>
    <col min="13322" max="13322" width="19.88671875" style="61" customWidth="1"/>
    <col min="13323" max="13323" width="10.77734375" style="61" customWidth="1"/>
    <col min="13324" max="13568" width="12.6640625" style="61"/>
    <col min="13569" max="13569" width="7.88671875" style="61" customWidth="1"/>
    <col min="13570" max="13570" width="51.44140625" style="61" customWidth="1"/>
    <col min="13571" max="13571" width="15.88671875" style="61" customWidth="1"/>
    <col min="13572" max="13572" width="7.77734375" style="61" customWidth="1"/>
    <col min="13573" max="13573" width="13.109375" style="61" customWidth="1"/>
    <col min="13574" max="13574" width="13.77734375" style="61" customWidth="1"/>
    <col min="13575" max="13575" width="16.77734375" style="61" customWidth="1"/>
    <col min="13576" max="13576" width="7.44140625" style="61" customWidth="1"/>
    <col min="13577" max="13577" width="15.21875" style="61" customWidth="1"/>
    <col min="13578" max="13578" width="19.88671875" style="61" customWidth="1"/>
    <col min="13579" max="13579" width="10.77734375" style="61" customWidth="1"/>
    <col min="13580" max="13824" width="12.6640625" style="61"/>
    <col min="13825" max="13825" width="7.88671875" style="61" customWidth="1"/>
    <col min="13826" max="13826" width="51.44140625" style="61" customWidth="1"/>
    <col min="13827" max="13827" width="15.88671875" style="61" customWidth="1"/>
    <col min="13828" max="13828" width="7.77734375" style="61" customWidth="1"/>
    <col min="13829" max="13829" width="13.109375" style="61" customWidth="1"/>
    <col min="13830" max="13830" width="13.77734375" style="61" customWidth="1"/>
    <col min="13831" max="13831" width="16.77734375" style="61" customWidth="1"/>
    <col min="13832" max="13832" width="7.44140625" style="61" customWidth="1"/>
    <col min="13833" max="13833" width="15.21875" style="61" customWidth="1"/>
    <col min="13834" max="13834" width="19.88671875" style="61" customWidth="1"/>
    <col min="13835" max="13835" width="10.77734375" style="61" customWidth="1"/>
    <col min="13836" max="14080" width="12.6640625" style="61"/>
    <col min="14081" max="14081" width="7.88671875" style="61" customWidth="1"/>
    <col min="14082" max="14082" width="51.44140625" style="61" customWidth="1"/>
    <col min="14083" max="14083" width="15.88671875" style="61" customWidth="1"/>
    <col min="14084" max="14084" width="7.77734375" style="61" customWidth="1"/>
    <col min="14085" max="14085" width="13.109375" style="61" customWidth="1"/>
    <col min="14086" max="14086" width="13.77734375" style="61" customWidth="1"/>
    <col min="14087" max="14087" width="16.77734375" style="61" customWidth="1"/>
    <col min="14088" max="14088" width="7.44140625" style="61" customWidth="1"/>
    <col min="14089" max="14089" width="15.21875" style="61" customWidth="1"/>
    <col min="14090" max="14090" width="19.88671875" style="61" customWidth="1"/>
    <col min="14091" max="14091" width="10.77734375" style="61" customWidth="1"/>
    <col min="14092" max="14336" width="12.6640625" style="61"/>
    <col min="14337" max="14337" width="7.88671875" style="61" customWidth="1"/>
    <col min="14338" max="14338" width="51.44140625" style="61" customWidth="1"/>
    <col min="14339" max="14339" width="15.88671875" style="61" customWidth="1"/>
    <col min="14340" max="14340" width="7.77734375" style="61" customWidth="1"/>
    <col min="14341" max="14341" width="13.109375" style="61" customWidth="1"/>
    <col min="14342" max="14342" width="13.77734375" style="61" customWidth="1"/>
    <col min="14343" max="14343" width="16.77734375" style="61" customWidth="1"/>
    <col min="14344" max="14344" width="7.44140625" style="61" customWidth="1"/>
    <col min="14345" max="14345" width="15.21875" style="61" customWidth="1"/>
    <col min="14346" max="14346" width="19.88671875" style="61" customWidth="1"/>
    <col min="14347" max="14347" width="10.77734375" style="61" customWidth="1"/>
    <col min="14348" max="14592" width="12.6640625" style="61"/>
    <col min="14593" max="14593" width="7.88671875" style="61" customWidth="1"/>
    <col min="14594" max="14594" width="51.44140625" style="61" customWidth="1"/>
    <col min="14595" max="14595" width="15.88671875" style="61" customWidth="1"/>
    <col min="14596" max="14596" width="7.77734375" style="61" customWidth="1"/>
    <col min="14597" max="14597" width="13.109375" style="61" customWidth="1"/>
    <col min="14598" max="14598" width="13.77734375" style="61" customWidth="1"/>
    <col min="14599" max="14599" width="16.77734375" style="61" customWidth="1"/>
    <col min="14600" max="14600" width="7.44140625" style="61" customWidth="1"/>
    <col min="14601" max="14601" width="15.21875" style="61" customWidth="1"/>
    <col min="14602" max="14602" width="19.88671875" style="61" customWidth="1"/>
    <col min="14603" max="14603" width="10.77734375" style="61" customWidth="1"/>
    <col min="14604" max="14848" width="12.6640625" style="61"/>
    <col min="14849" max="14849" width="7.88671875" style="61" customWidth="1"/>
    <col min="14850" max="14850" width="51.44140625" style="61" customWidth="1"/>
    <col min="14851" max="14851" width="15.88671875" style="61" customWidth="1"/>
    <col min="14852" max="14852" width="7.77734375" style="61" customWidth="1"/>
    <col min="14853" max="14853" width="13.109375" style="61" customWidth="1"/>
    <col min="14854" max="14854" width="13.77734375" style="61" customWidth="1"/>
    <col min="14855" max="14855" width="16.77734375" style="61" customWidth="1"/>
    <col min="14856" max="14856" width="7.44140625" style="61" customWidth="1"/>
    <col min="14857" max="14857" width="15.21875" style="61" customWidth="1"/>
    <col min="14858" max="14858" width="19.88671875" style="61" customWidth="1"/>
    <col min="14859" max="14859" width="10.77734375" style="61" customWidth="1"/>
    <col min="14860" max="15104" width="12.6640625" style="61"/>
    <col min="15105" max="15105" width="7.88671875" style="61" customWidth="1"/>
    <col min="15106" max="15106" width="51.44140625" style="61" customWidth="1"/>
    <col min="15107" max="15107" width="15.88671875" style="61" customWidth="1"/>
    <col min="15108" max="15108" width="7.77734375" style="61" customWidth="1"/>
    <col min="15109" max="15109" width="13.109375" style="61" customWidth="1"/>
    <col min="15110" max="15110" width="13.77734375" style="61" customWidth="1"/>
    <col min="15111" max="15111" width="16.77734375" style="61" customWidth="1"/>
    <col min="15112" max="15112" width="7.44140625" style="61" customWidth="1"/>
    <col min="15113" max="15113" width="15.21875" style="61" customWidth="1"/>
    <col min="15114" max="15114" width="19.88671875" style="61" customWidth="1"/>
    <col min="15115" max="15115" width="10.77734375" style="61" customWidth="1"/>
    <col min="15116" max="15360" width="12.6640625" style="61"/>
    <col min="15361" max="15361" width="7.88671875" style="61" customWidth="1"/>
    <col min="15362" max="15362" width="51.44140625" style="61" customWidth="1"/>
    <col min="15363" max="15363" width="15.88671875" style="61" customWidth="1"/>
    <col min="15364" max="15364" width="7.77734375" style="61" customWidth="1"/>
    <col min="15365" max="15365" width="13.109375" style="61" customWidth="1"/>
    <col min="15366" max="15366" width="13.77734375" style="61" customWidth="1"/>
    <col min="15367" max="15367" width="16.77734375" style="61" customWidth="1"/>
    <col min="15368" max="15368" width="7.44140625" style="61" customWidth="1"/>
    <col min="15369" max="15369" width="15.21875" style="61" customWidth="1"/>
    <col min="15370" max="15370" width="19.88671875" style="61" customWidth="1"/>
    <col min="15371" max="15371" width="10.77734375" style="61" customWidth="1"/>
    <col min="15372" max="15616" width="12.6640625" style="61"/>
    <col min="15617" max="15617" width="7.88671875" style="61" customWidth="1"/>
    <col min="15618" max="15618" width="51.44140625" style="61" customWidth="1"/>
    <col min="15619" max="15619" width="15.88671875" style="61" customWidth="1"/>
    <col min="15620" max="15620" width="7.77734375" style="61" customWidth="1"/>
    <col min="15621" max="15621" width="13.109375" style="61" customWidth="1"/>
    <col min="15622" max="15622" width="13.77734375" style="61" customWidth="1"/>
    <col min="15623" max="15623" width="16.77734375" style="61" customWidth="1"/>
    <col min="15624" max="15624" width="7.44140625" style="61" customWidth="1"/>
    <col min="15625" max="15625" width="15.21875" style="61" customWidth="1"/>
    <col min="15626" max="15626" width="19.88671875" style="61" customWidth="1"/>
    <col min="15627" max="15627" width="10.77734375" style="61" customWidth="1"/>
    <col min="15628" max="15872" width="12.6640625" style="61"/>
    <col min="15873" max="15873" width="7.88671875" style="61" customWidth="1"/>
    <col min="15874" max="15874" width="51.44140625" style="61" customWidth="1"/>
    <col min="15875" max="15875" width="15.88671875" style="61" customWidth="1"/>
    <col min="15876" max="15876" width="7.77734375" style="61" customWidth="1"/>
    <col min="15877" max="15877" width="13.109375" style="61" customWidth="1"/>
    <col min="15878" max="15878" width="13.77734375" style="61" customWidth="1"/>
    <col min="15879" max="15879" width="16.77734375" style="61" customWidth="1"/>
    <col min="15880" max="15880" width="7.44140625" style="61" customWidth="1"/>
    <col min="15881" max="15881" width="15.21875" style="61" customWidth="1"/>
    <col min="15882" max="15882" width="19.88671875" style="61" customWidth="1"/>
    <col min="15883" max="15883" width="10.77734375" style="61" customWidth="1"/>
    <col min="15884" max="16128" width="12.6640625" style="61"/>
    <col min="16129" max="16129" width="7.88671875" style="61" customWidth="1"/>
    <col min="16130" max="16130" width="51.44140625" style="61" customWidth="1"/>
    <col min="16131" max="16131" width="15.88671875" style="61" customWidth="1"/>
    <col min="16132" max="16132" width="7.77734375" style="61" customWidth="1"/>
    <col min="16133" max="16133" width="13.109375" style="61" customWidth="1"/>
    <col min="16134" max="16134" width="13.77734375" style="61" customWidth="1"/>
    <col min="16135" max="16135" width="16.77734375" style="61" customWidth="1"/>
    <col min="16136" max="16136" width="7.44140625" style="61" customWidth="1"/>
    <col min="16137" max="16137" width="15.21875" style="61" customWidth="1"/>
    <col min="16138" max="16138" width="19.88671875" style="61" customWidth="1"/>
    <col min="16139" max="16139" width="10.77734375" style="61" customWidth="1"/>
    <col min="16140" max="16384" width="12.6640625" style="61"/>
  </cols>
  <sheetData>
    <row r="1" spans="1:6" ht="28.5" customHeight="1" thickTop="1">
      <c r="A1" s="521" t="s">
        <v>280</v>
      </c>
      <c r="B1" s="522"/>
      <c r="C1" s="522"/>
      <c r="D1" s="522"/>
      <c r="E1" s="522"/>
      <c r="F1" s="523"/>
    </row>
    <row r="2" spans="1:6" ht="15" customHeight="1">
      <c r="A2" s="576"/>
      <c r="B2" s="524"/>
      <c r="C2" s="524"/>
      <c r="D2" s="524"/>
      <c r="E2" s="524"/>
      <c r="F2" s="525"/>
    </row>
    <row r="3" spans="1:6" ht="15" customHeight="1" thickBot="1">
      <c r="A3" s="526"/>
      <c r="B3" s="527"/>
      <c r="C3" s="527"/>
      <c r="D3" s="527"/>
      <c r="E3" s="527"/>
      <c r="F3" s="528"/>
    </row>
    <row r="4" spans="1:6" ht="15" customHeight="1" thickTop="1" thickBot="1">
      <c r="A4" s="94" t="s">
        <v>2</v>
      </c>
      <c r="B4" s="95" t="s">
        <v>281</v>
      </c>
      <c r="C4" s="96" t="s">
        <v>282</v>
      </c>
      <c r="D4" s="97" t="s">
        <v>283</v>
      </c>
      <c r="E4" s="96" t="s">
        <v>284</v>
      </c>
      <c r="F4" s="98" t="s">
        <v>285</v>
      </c>
    </row>
    <row r="5" spans="1:6" ht="18.75" thickTop="1">
      <c r="A5" s="340"/>
      <c r="B5" s="114"/>
      <c r="C5" s="341"/>
      <c r="D5" s="115"/>
      <c r="E5" s="115"/>
      <c r="F5" s="342"/>
    </row>
    <row r="6" spans="1:6">
      <c r="A6" s="340" t="s">
        <v>108</v>
      </c>
      <c r="B6" s="114" t="s">
        <v>286</v>
      </c>
      <c r="C6" s="341"/>
      <c r="D6" s="115"/>
      <c r="E6" s="115"/>
      <c r="F6" s="342"/>
    </row>
    <row r="7" spans="1:6">
      <c r="A7" s="340"/>
      <c r="B7" s="114"/>
      <c r="C7" s="341"/>
      <c r="D7" s="115"/>
      <c r="E7" s="115"/>
      <c r="F7" s="342"/>
    </row>
    <row r="8" spans="1:6">
      <c r="A8" s="343">
        <v>1</v>
      </c>
      <c r="B8" s="161" t="s">
        <v>287</v>
      </c>
      <c r="C8" s="115"/>
      <c r="D8" s="115"/>
      <c r="E8" s="115"/>
      <c r="F8" s="342"/>
    </row>
    <row r="9" spans="1:6">
      <c r="A9" s="340">
        <f>A8+0.1</f>
        <v>1.1000000000000001</v>
      </c>
      <c r="B9" s="115" t="s">
        <v>288</v>
      </c>
      <c r="C9" s="152">
        <v>1</v>
      </c>
      <c r="D9" s="344" t="s">
        <v>289</v>
      </c>
      <c r="E9" s="152">
        <v>1977</v>
      </c>
      <c r="F9" s="157">
        <f>+C9*E9</f>
        <v>1977</v>
      </c>
    </row>
    <row r="10" spans="1:6">
      <c r="A10" s="340">
        <f>A9+0.1</f>
        <v>1.2</v>
      </c>
      <c r="B10" s="345" t="s">
        <v>290</v>
      </c>
      <c r="C10" s="152">
        <v>1</v>
      </c>
      <c r="D10" s="344" t="s">
        <v>289</v>
      </c>
      <c r="E10" s="152">
        <v>847</v>
      </c>
      <c r="F10" s="157">
        <f>+C10*E10</f>
        <v>847</v>
      </c>
    </row>
    <row r="11" spans="1:6">
      <c r="A11" s="340">
        <f>A10+0.1</f>
        <v>1.3</v>
      </c>
      <c r="B11" s="345" t="s">
        <v>291</v>
      </c>
      <c r="C11" s="152">
        <v>1</v>
      </c>
      <c r="D11" s="344" t="s">
        <v>289</v>
      </c>
      <c r="E11" s="152">
        <v>1317.08</v>
      </c>
      <c r="F11" s="157">
        <f>+C11*E11</f>
        <v>1317.08</v>
      </c>
    </row>
    <row r="12" spans="1:6">
      <c r="A12" s="340">
        <f>A11+0.1</f>
        <v>1.4</v>
      </c>
      <c r="B12" s="345" t="s">
        <v>292</v>
      </c>
      <c r="C12" s="152">
        <v>1</v>
      </c>
      <c r="D12" s="344" t="s">
        <v>289</v>
      </c>
      <c r="E12" s="152">
        <v>1054.98</v>
      </c>
      <c r="F12" s="157">
        <f>+C12*E12</f>
        <v>1054.98</v>
      </c>
    </row>
    <row r="13" spans="1:6">
      <c r="A13" s="340">
        <f>A12+0.1</f>
        <v>1.5</v>
      </c>
      <c r="B13" s="345" t="s">
        <v>293</v>
      </c>
      <c r="C13" s="152">
        <v>1</v>
      </c>
      <c r="D13" s="344" t="s">
        <v>289</v>
      </c>
      <c r="E13" s="152">
        <v>1054.98</v>
      </c>
      <c r="F13" s="157">
        <f>+C13*E13</f>
        <v>1054.98</v>
      </c>
    </row>
    <row r="14" spans="1:6">
      <c r="A14" s="346"/>
      <c r="B14" s="345"/>
      <c r="C14" s="152"/>
      <c r="D14" s="344"/>
      <c r="E14" s="152"/>
      <c r="F14" s="157"/>
    </row>
    <row r="15" spans="1:6">
      <c r="A15" s="347">
        <f>A8+1</f>
        <v>2</v>
      </c>
      <c r="B15" s="348" t="s">
        <v>294</v>
      </c>
      <c r="C15" s="152"/>
      <c r="D15" s="344"/>
      <c r="E15" s="152"/>
      <c r="F15" s="157"/>
    </row>
    <row r="16" spans="1:6">
      <c r="A16" s="346">
        <f>A15+0.1</f>
        <v>2.1</v>
      </c>
      <c r="B16" s="349" t="s">
        <v>295</v>
      </c>
      <c r="C16" s="152">
        <v>1</v>
      </c>
      <c r="D16" s="344" t="s">
        <v>289</v>
      </c>
      <c r="E16" s="152">
        <v>18000</v>
      </c>
      <c r="F16" s="350">
        <f>+C16*E16</f>
        <v>18000</v>
      </c>
    </row>
    <row r="17" spans="1:6">
      <c r="A17" s="346">
        <f>A16+0.1</f>
        <v>2.2000000000000002</v>
      </c>
      <c r="B17" s="349" t="s">
        <v>296</v>
      </c>
      <c r="C17" s="152">
        <v>1</v>
      </c>
      <c r="D17" s="344" t="s">
        <v>289</v>
      </c>
      <c r="E17" s="152">
        <v>9269.92</v>
      </c>
      <c r="F17" s="350">
        <f>+C17*E17</f>
        <v>9269.92</v>
      </c>
    </row>
    <row r="18" spans="1:6">
      <c r="A18" s="346">
        <f>A17+0.1</f>
        <v>2.2999999999999998</v>
      </c>
      <c r="B18" s="349" t="s">
        <v>297</v>
      </c>
      <c r="C18" s="152">
        <v>0.25</v>
      </c>
      <c r="D18" s="344" t="s">
        <v>289</v>
      </c>
      <c r="E18" s="152">
        <v>21509.56</v>
      </c>
      <c r="F18" s="350">
        <f>+C18*E18</f>
        <v>5377.39</v>
      </c>
    </row>
    <row r="19" spans="1:6">
      <c r="A19" s="346">
        <f>A18+0.1</f>
        <v>2.4</v>
      </c>
      <c r="B19" s="349" t="s">
        <v>298</v>
      </c>
      <c r="C19" s="152">
        <v>0.05</v>
      </c>
      <c r="D19" s="344" t="s">
        <v>21</v>
      </c>
      <c r="E19" s="152"/>
      <c r="F19" s="350">
        <f>ROUND(SUM(F16:F18)*C19,2)</f>
        <v>1632.37</v>
      </c>
    </row>
    <row r="20" spans="1:6">
      <c r="A20" s="346"/>
      <c r="B20" s="345"/>
      <c r="C20" s="152"/>
      <c r="D20" s="344"/>
      <c r="E20" s="152"/>
      <c r="F20" s="157"/>
    </row>
    <row r="21" spans="1:6">
      <c r="A21" s="346">
        <v>3</v>
      </c>
      <c r="B21" s="345" t="s">
        <v>299</v>
      </c>
      <c r="C21" s="152">
        <v>1.52</v>
      </c>
      <c r="D21" s="344" t="s">
        <v>300</v>
      </c>
      <c r="E21" s="152">
        <v>60.97</v>
      </c>
      <c r="F21" s="157">
        <f>+C21*E21</f>
        <v>92.67</v>
      </c>
    </row>
    <row r="22" spans="1:6">
      <c r="A22" s="346"/>
      <c r="B22" s="345"/>
      <c r="C22" s="152"/>
      <c r="D22" s="344"/>
      <c r="E22" s="152"/>
      <c r="F22" s="157"/>
    </row>
    <row r="23" spans="1:6">
      <c r="A23" s="351"/>
      <c r="B23" s="345" t="s">
        <v>301</v>
      </c>
      <c r="C23" s="345"/>
      <c r="D23" s="152"/>
      <c r="E23" s="152"/>
      <c r="F23" s="158">
        <f>SUM(F9:F21)</f>
        <v>40623.39</v>
      </c>
    </row>
    <row r="24" spans="1:6">
      <c r="A24" s="351"/>
      <c r="B24" s="345"/>
      <c r="C24" s="345"/>
      <c r="D24" s="152"/>
      <c r="E24" s="152"/>
      <c r="F24" s="158"/>
    </row>
    <row r="25" spans="1:6">
      <c r="A25" s="351"/>
      <c r="B25" s="345" t="s">
        <v>302</v>
      </c>
      <c r="C25" s="152">
        <v>6.5</v>
      </c>
      <c r="D25" s="344" t="s">
        <v>303</v>
      </c>
      <c r="E25" s="152">
        <v>40623.360000000001</v>
      </c>
      <c r="F25" s="158">
        <f>+E25/C25</f>
        <v>6249.75</v>
      </c>
    </row>
    <row r="26" spans="1:6">
      <c r="A26" s="352"/>
      <c r="B26" s="341"/>
      <c r="C26" s="353"/>
      <c r="D26" s="115"/>
      <c r="E26" s="115"/>
      <c r="F26" s="354" t="s">
        <v>108</v>
      </c>
    </row>
    <row r="27" spans="1:6" ht="18.75" thickBot="1">
      <c r="A27" s="355"/>
      <c r="B27" s="356" t="s">
        <v>304</v>
      </c>
      <c r="C27" s="357"/>
      <c r="D27" s="358"/>
      <c r="E27" s="359"/>
      <c r="F27" s="360">
        <f>+F25</f>
        <v>6249.75</v>
      </c>
    </row>
    <row r="28" spans="1:6" ht="18.75" thickTop="1">
      <c r="A28" s="577"/>
      <c r="B28" s="101"/>
      <c r="C28" s="111"/>
      <c r="D28" s="112"/>
      <c r="E28" s="111"/>
      <c r="F28" s="113"/>
    </row>
    <row r="29" spans="1:6">
      <c r="A29" s="578"/>
      <c r="B29" s="114" t="s">
        <v>305</v>
      </c>
      <c r="C29" s="111"/>
      <c r="D29" s="112"/>
      <c r="E29" s="111"/>
      <c r="F29" s="113"/>
    </row>
    <row r="30" spans="1:6">
      <c r="A30" s="579"/>
      <c r="B30" s="115"/>
      <c r="C30" s="99"/>
      <c r="D30" s="116"/>
      <c r="E30" s="99"/>
      <c r="F30" s="100"/>
    </row>
    <row r="31" spans="1:6">
      <c r="A31" s="579"/>
      <c r="B31" s="115" t="s">
        <v>306</v>
      </c>
      <c r="C31" s="99">
        <f>1.3*1.15*2.1</f>
        <v>3.14</v>
      </c>
      <c r="D31" s="116" t="s">
        <v>113</v>
      </c>
      <c r="E31" s="143">
        <v>222.45</v>
      </c>
      <c r="F31" s="100">
        <f t="shared" ref="F31:F37" si="0">C31*E31</f>
        <v>698.49</v>
      </c>
    </row>
    <row r="32" spans="1:6">
      <c r="A32" s="579"/>
      <c r="B32" s="101" t="s">
        <v>307</v>
      </c>
      <c r="C32" s="99">
        <f>C31*1.3</f>
        <v>4.08</v>
      </c>
      <c r="D32" s="116" t="s">
        <v>113</v>
      </c>
      <c r="E32" s="99">
        <v>220</v>
      </c>
      <c r="F32" s="100">
        <f t="shared" si="0"/>
        <v>897.6</v>
      </c>
    </row>
    <row r="33" spans="1:6">
      <c r="A33" s="579"/>
      <c r="B33" s="101" t="s">
        <v>308</v>
      </c>
      <c r="C33" s="99">
        <f>0.64*2.1*0.15</f>
        <v>0.2</v>
      </c>
      <c r="D33" s="116" t="s">
        <v>113</v>
      </c>
      <c r="E33" s="99">
        <v>4500</v>
      </c>
      <c r="F33" s="100">
        <f t="shared" si="0"/>
        <v>900</v>
      </c>
    </row>
    <row r="34" spans="1:6">
      <c r="A34" s="579"/>
      <c r="B34" s="101" t="s">
        <v>309</v>
      </c>
      <c r="C34" s="99">
        <f>1.3*2.1*0.15</f>
        <v>0.41</v>
      </c>
      <c r="D34" s="116" t="s">
        <v>310</v>
      </c>
      <c r="E34" s="99">
        <v>4501</v>
      </c>
      <c r="F34" s="100">
        <f t="shared" ref="F34" si="1">C34*E34</f>
        <v>1845.41</v>
      </c>
    </row>
    <row r="35" spans="1:6">
      <c r="A35" s="580"/>
      <c r="B35" s="105" t="s">
        <v>311</v>
      </c>
      <c r="C35" s="102">
        <f>0.7*2.1+0.7*1*2</f>
        <v>2.87</v>
      </c>
      <c r="D35" s="103" t="s">
        <v>155</v>
      </c>
      <c r="E35" s="99">
        <v>906.08</v>
      </c>
      <c r="F35" s="104">
        <f t="shared" si="0"/>
        <v>2600.4499999999998</v>
      </c>
    </row>
    <row r="36" spans="1:6">
      <c r="A36" s="580"/>
      <c r="B36" s="105" t="s">
        <v>312</v>
      </c>
      <c r="C36" s="102">
        <f>C35</f>
        <v>2.87</v>
      </c>
      <c r="D36" s="103" t="s">
        <v>155</v>
      </c>
      <c r="E36" s="99">
        <v>267.60000000000002</v>
      </c>
      <c r="F36" s="104">
        <f t="shared" si="0"/>
        <v>768.01</v>
      </c>
    </row>
    <row r="37" spans="1:6">
      <c r="A37" s="579"/>
      <c r="B37" s="115" t="s">
        <v>313</v>
      </c>
      <c r="C37" s="99">
        <v>3</v>
      </c>
      <c r="D37" s="116" t="s">
        <v>121</v>
      </c>
      <c r="E37" s="99">
        <v>2800</v>
      </c>
      <c r="F37" s="100">
        <f t="shared" si="0"/>
        <v>8400</v>
      </c>
    </row>
    <row r="38" spans="1:6">
      <c r="A38" s="579"/>
      <c r="B38" s="115"/>
      <c r="C38" s="99"/>
      <c r="D38" s="116"/>
      <c r="E38" s="159" t="s">
        <v>314</v>
      </c>
      <c r="F38" s="160">
        <f>SUM(F31:F37)</f>
        <v>16109.96</v>
      </c>
    </row>
    <row r="39" spans="1:6">
      <c r="A39" s="579"/>
      <c r="B39" s="161" t="s">
        <v>315</v>
      </c>
      <c r="C39" s="99"/>
      <c r="D39" s="116"/>
      <c r="E39" s="99"/>
      <c r="F39" s="100"/>
    </row>
    <row r="40" spans="1:6">
      <c r="A40" s="579"/>
      <c r="B40" s="161"/>
      <c r="C40" s="99"/>
      <c r="D40" s="116"/>
      <c r="E40" s="99"/>
      <c r="F40" s="100"/>
    </row>
    <row r="41" spans="1:6">
      <c r="A41" s="579"/>
      <c r="B41" s="115" t="s">
        <v>316</v>
      </c>
      <c r="C41" s="99">
        <f>4.5*2</f>
        <v>9</v>
      </c>
      <c r="D41" s="116" t="s">
        <v>131</v>
      </c>
      <c r="E41" s="99">
        <v>56.56</v>
      </c>
      <c r="F41" s="100">
        <f>C41*E41</f>
        <v>509.04</v>
      </c>
    </row>
    <row r="42" spans="1:6">
      <c r="A42" s="579"/>
      <c r="B42" s="115" t="s">
        <v>317</v>
      </c>
      <c r="C42" s="99">
        <f>0.85*4.5*1.4</f>
        <v>5.36</v>
      </c>
      <c r="D42" s="116" t="s">
        <v>113</v>
      </c>
      <c r="E42" s="143">
        <v>222.45</v>
      </c>
      <c r="F42" s="100">
        <f t="shared" ref="F42:F45" si="2">C42*E42</f>
        <v>1192.33</v>
      </c>
    </row>
    <row r="43" spans="1:6">
      <c r="A43" s="579"/>
      <c r="B43" s="115" t="s">
        <v>318</v>
      </c>
      <c r="C43" s="99">
        <f>0.1*4.5*0.85</f>
        <v>0.38</v>
      </c>
      <c r="D43" s="116" t="s">
        <v>113</v>
      </c>
      <c r="E43" s="99">
        <v>1226.3499999999999</v>
      </c>
      <c r="F43" s="100">
        <f t="shared" si="2"/>
        <v>466.01</v>
      </c>
    </row>
    <row r="44" spans="1:6">
      <c r="A44" s="579"/>
      <c r="B44" s="115" t="s">
        <v>319</v>
      </c>
      <c r="C44" s="99">
        <v>4.6500000000000004</v>
      </c>
      <c r="D44" s="116" t="s">
        <v>113</v>
      </c>
      <c r="E44" s="99">
        <v>145.35</v>
      </c>
      <c r="F44" s="100">
        <f t="shared" si="2"/>
        <v>675.88</v>
      </c>
    </row>
    <row r="45" spans="1:6">
      <c r="A45" s="579"/>
      <c r="B45" s="115" t="s">
        <v>307</v>
      </c>
      <c r="C45" s="99">
        <v>0.92</v>
      </c>
      <c r="D45" s="116" t="s">
        <v>113</v>
      </c>
      <c r="E45" s="143">
        <v>183.48</v>
      </c>
      <c r="F45" s="100">
        <f t="shared" si="2"/>
        <v>168.8</v>
      </c>
    </row>
    <row r="46" spans="1:6">
      <c r="A46" s="579"/>
      <c r="B46" s="115"/>
      <c r="C46" s="99"/>
      <c r="D46" s="116"/>
      <c r="E46" s="99"/>
      <c r="F46" s="100"/>
    </row>
    <row r="47" spans="1:6">
      <c r="A47" s="579"/>
      <c r="B47" s="115" t="s">
        <v>320</v>
      </c>
      <c r="C47" s="99"/>
      <c r="D47" s="116"/>
      <c r="E47" s="99"/>
      <c r="F47" s="100"/>
    </row>
    <row r="48" spans="1:6">
      <c r="A48" s="579"/>
      <c r="B48" s="115" t="s">
        <v>321</v>
      </c>
      <c r="C48" s="99">
        <v>1</v>
      </c>
      <c r="D48" s="116" t="s">
        <v>121</v>
      </c>
      <c r="E48" s="99">
        <v>200</v>
      </c>
      <c r="F48" s="100">
        <f t="shared" ref="F48:F53" si="3">C48*E48</f>
        <v>200</v>
      </c>
    </row>
    <row r="49" spans="1:8">
      <c r="A49" s="579"/>
      <c r="B49" s="115" t="s">
        <v>322</v>
      </c>
      <c r="C49" s="99">
        <v>1</v>
      </c>
      <c r="D49" s="116" t="s">
        <v>121</v>
      </c>
      <c r="E49" s="99">
        <v>250</v>
      </c>
      <c r="F49" s="100">
        <f t="shared" si="3"/>
        <v>250</v>
      </c>
    </row>
    <row r="50" spans="1:8">
      <c r="A50" s="579"/>
      <c r="B50" s="115" t="s">
        <v>323</v>
      </c>
      <c r="C50" s="99">
        <v>4.5</v>
      </c>
      <c r="D50" s="116" t="s">
        <v>131</v>
      </c>
      <c r="E50" s="99">
        <v>3234.58</v>
      </c>
      <c r="F50" s="100">
        <f t="shared" si="3"/>
        <v>14555.61</v>
      </c>
    </row>
    <row r="51" spans="1:8">
      <c r="A51" s="579"/>
      <c r="B51" s="115"/>
      <c r="C51" s="99"/>
      <c r="D51" s="116"/>
      <c r="E51" s="99"/>
      <c r="F51" s="100"/>
    </row>
    <row r="52" spans="1:8">
      <c r="A52" s="579"/>
      <c r="B52" s="115" t="s">
        <v>324</v>
      </c>
      <c r="C52" s="99"/>
      <c r="D52" s="116"/>
      <c r="E52" s="99"/>
      <c r="F52" s="100"/>
    </row>
    <row r="53" spans="1:8">
      <c r="A53" s="579"/>
      <c r="B53" s="115" t="s">
        <v>325</v>
      </c>
      <c r="C53" s="99">
        <v>4.5</v>
      </c>
      <c r="D53" s="116" t="s">
        <v>131</v>
      </c>
      <c r="E53" s="99">
        <v>37.64</v>
      </c>
      <c r="F53" s="100">
        <f t="shared" si="3"/>
        <v>169.38</v>
      </c>
    </row>
    <row r="54" spans="1:8">
      <c r="A54" s="579"/>
      <c r="B54" s="115"/>
      <c r="C54" s="99"/>
      <c r="D54" s="116"/>
      <c r="E54" s="159" t="s">
        <v>314</v>
      </c>
      <c r="F54" s="160">
        <f>SUM(F41:F53)</f>
        <v>18187.05</v>
      </c>
    </row>
    <row r="55" spans="1:8" ht="18.75" thickBot="1">
      <c r="A55" s="577"/>
      <c r="B55" s="101"/>
      <c r="C55" s="111"/>
      <c r="D55" s="112"/>
      <c r="E55" s="111"/>
      <c r="F55" s="113"/>
    </row>
    <row r="56" spans="1:8" ht="19.5" thickTop="1" thickBot="1">
      <c r="A56" s="106"/>
      <c r="B56" s="107" t="s">
        <v>326</v>
      </c>
      <c r="C56" s="108"/>
      <c r="D56" s="109"/>
      <c r="E56" s="108"/>
      <c r="F56" s="110">
        <f>F54+F38</f>
        <v>34297.01</v>
      </c>
      <c r="H56" s="30">
        <v>574.59</v>
      </c>
    </row>
    <row r="57" spans="1:8" ht="18.75" thickTop="1">
      <c r="A57" s="579"/>
      <c r="B57" s="115"/>
      <c r="C57" s="99"/>
      <c r="D57" s="116"/>
      <c r="E57" s="99"/>
      <c r="F57" s="100"/>
      <c r="H57" s="30">
        <v>145.35</v>
      </c>
    </row>
    <row r="58" spans="1:8">
      <c r="B58" s="136" t="s">
        <v>327</v>
      </c>
      <c r="C58" s="137"/>
      <c r="D58" s="137"/>
      <c r="E58" s="137"/>
      <c r="F58" s="138"/>
      <c r="H58" s="56">
        <f>SUM(H56:H57)</f>
        <v>719.94</v>
      </c>
    </row>
    <row r="59" spans="1:8">
      <c r="B59" s="136"/>
      <c r="C59" s="136"/>
      <c r="D59" s="139"/>
      <c r="E59" s="140"/>
      <c r="F59" s="141"/>
    </row>
    <row r="60" spans="1:8">
      <c r="B60" s="142" t="s">
        <v>328</v>
      </c>
      <c r="C60" s="143">
        <v>1</v>
      </c>
      <c r="D60" s="144" t="s">
        <v>329</v>
      </c>
      <c r="E60" s="143">
        <v>300</v>
      </c>
      <c r="F60" s="145">
        <f t="shared" ref="F60:F73" si="4">+E60*C60</f>
        <v>300</v>
      </c>
    </row>
    <row r="61" spans="1:8">
      <c r="B61" s="142" t="s">
        <v>330</v>
      </c>
      <c r="C61" s="143">
        <f>2.65*2.15*2</f>
        <v>11.4</v>
      </c>
      <c r="D61" s="146" t="s">
        <v>331</v>
      </c>
      <c r="E61" s="143">
        <v>222.45</v>
      </c>
      <c r="F61" s="145">
        <f t="shared" si="4"/>
        <v>2535.9299999999998</v>
      </c>
    </row>
    <row r="62" spans="1:8">
      <c r="B62" s="142" t="s">
        <v>307</v>
      </c>
      <c r="C62" s="143">
        <f>(C61-2)*1.3</f>
        <v>12.22</v>
      </c>
      <c r="D62" s="146" t="s">
        <v>331</v>
      </c>
      <c r="E62" s="143">
        <v>183.48</v>
      </c>
      <c r="F62" s="145">
        <f t="shared" si="4"/>
        <v>2242.13</v>
      </c>
    </row>
    <row r="63" spans="1:8">
      <c r="B63" s="142" t="s">
        <v>319</v>
      </c>
      <c r="C63" s="143">
        <f>2.65*2.15*0.2*1.3</f>
        <v>1.48</v>
      </c>
      <c r="D63" s="146" t="s">
        <v>331</v>
      </c>
      <c r="E63" s="143">
        <v>145.35</v>
      </c>
      <c r="F63" s="145">
        <f t="shared" si="4"/>
        <v>215.12</v>
      </c>
    </row>
    <row r="64" spans="1:8">
      <c r="B64" s="142" t="s">
        <v>332</v>
      </c>
      <c r="C64" s="143">
        <f>0.2*2.15*2.65</f>
        <v>1.1399999999999999</v>
      </c>
      <c r="D64" s="144" t="s">
        <v>331</v>
      </c>
      <c r="E64" s="143">
        <v>6500</v>
      </c>
      <c r="F64" s="145">
        <f t="shared" si="4"/>
        <v>7410</v>
      </c>
    </row>
    <row r="65" spans="1:6">
      <c r="B65" s="142" t="s">
        <v>333</v>
      </c>
      <c r="C65" s="143">
        <f>0.15*2.15*2.65</f>
        <v>0.85</v>
      </c>
      <c r="D65" s="144" t="s">
        <v>331</v>
      </c>
      <c r="E65" s="143">
        <v>12500</v>
      </c>
      <c r="F65" s="145">
        <f t="shared" si="4"/>
        <v>10625</v>
      </c>
    </row>
    <row r="66" spans="1:6">
      <c r="B66" s="142" t="s">
        <v>334</v>
      </c>
      <c r="C66" s="143">
        <f>1.2*0.15*0.2*3</f>
        <v>0.11</v>
      </c>
      <c r="D66" s="144" t="s">
        <v>335</v>
      </c>
      <c r="E66" s="143">
        <v>14500</v>
      </c>
      <c r="F66" s="145">
        <f t="shared" si="4"/>
        <v>1595</v>
      </c>
    </row>
    <row r="67" spans="1:6">
      <c r="B67" s="142" t="s">
        <v>336</v>
      </c>
      <c r="C67" s="143">
        <f>2.65*1.6*2+1.85*1.6*2+1.5*1.6</f>
        <v>16.8</v>
      </c>
      <c r="D67" s="144" t="s">
        <v>335</v>
      </c>
      <c r="E67" s="143">
        <v>906.08</v>
      </c>
      <c r="F67" s="145">
        <f t="shared" si="4"/>
        <v>15222.14</v>
      </c>
    </row>
    <row r="68" spans="1:6">
      <c r="B68" s="142" t="s">
        <v>337</v>
      </c>
      <c r="C68" s="143">
        <f>2.65*1.6*2+1.85*1.6*2+1.5*1.6*2</f>
        <v>19.2</v>
      </c>
      <c r="D68" s="144" t="s">
        <v>335</v>
      </c>
      <c r="E68" s="143">
        <v>267.60000000000002</v>
      </c>
      <c r="F68" s="145">
        <f t="shared" si="4"/>
        <v>5137.92</v>
      </c>
    </row>
    <row r="69" spans="1:6">
      <c r="B69" s="142" t="s">
        <v>338</v>
      </c>
      <c r="C69" s="143">
        <f>2.15*2.65</f>
        <v>5.7</v>
      </c>
      <c r="D69" s="144" t="s">
        <v>335</v>
      </c>
      <c r="E69" s="143">
        <v>389.62</v>
      </c>
      <c r="F69" s="145">
        <f t="shared" si="4"/>
        <v>2220.83</v>
      </c>
    </row>
    <row r="70" spans="1:6">
      <c r="B70" s="142" t="s">
        <v>339</v>
      </c>
      <c r="C70" s="143">
        <v>1</v>
      </c>
      <c r="D70" s="144" t="s">
        <v>121</v>
      </c>
      <c r="E70" s="143">
        <v>1800</v>
      </c>
      <c r="F70" s="145">
        <f t="shared" si="4"/>
        <v>1800</v>
      </c>
    </row>
    <row r="71" spans="1:6">
      <c r="B71" s="142" t="s">
        <v>340</v>
      </c>
      <c r="C71" s="143">
        <v>1</v>
      </c>
      <c r="D71" s="144" t="s">
        <v>121</v>
      </c>
      <c r="E71" s="143">
        <v>3000</v>
      </c>
      <c r="F71" s="145">
        <f t="shared" si="4"/>
        <v>3000</v>
      </c>
    </row>
    <row r="72" spans="1:6">
      <c r="B72" s="142" t="s">
        <v>341</v>
      </c>
      <c r="C72" s="143">
        <v>3</v>
      </c>
      <c r="D72" s="144" t="s">
        <v>121</v>
      </c>
      <c r="E72" s="143">
        <v>1800</v>
      </c>
      <c r="F72" s="145">
        <f t="shared" si="4"/>
        <v>5400</v>
      </c>
    </row>
    <row r="73" spans="1:6">
      <c r="B73" s="142" t="s">
        <v>342</v>
      </c>
      <c r="C73" s="143">
        <v>1</v>
      </c>
      <c r="D73" s="144" t="s">
        <v>329</v>
      </c>
      <c r="E73" s="143">
        <v>400</v>
      </c>
      <c r="F73" s="145">
        <f t="shared" si="4"/>
        <v>400</v>
      </c>
    </row>
    <row r="74" spans="1:6" ht="18.75" thickBot="1">
      <c r="B74" s="142"/>
      <c r="C74" s="143"/>
      <c r="D74" s="144"/>
      <c r="E74" s="143"/>
      <c r="F74" s="145"/>
    </row>
    <row r="75" spans="1:6" ht="19.5" thickTop="1" thickBot="1">
      <c r="A75" s="106"/>
      <c r="B75" s="147" t="s">
        <v>343</v>
      </c>
      <c r="C75" s="148"/>
      <c r="D75" s="149"/>
      <c r="E75" s="148"/>
      <c r="F75" s="150">
        <f>SUM(F60:F73)</f>
        <v>58104.07</v>
      </c>
    </row>
    <row r="76" spans="1:6" ht="18.75" thickTop="1">
      <c r="B76" s="136"/>
      <c r="D76" s="144"/>
      <c r="E76" s="143"/>
    </row>
    <row r="77" spans="1:6">
      <c r="B77" s="136" t="s">
        <v>344</v>
      </c>
      <c r="D77" s="144"/>
      <c r="E77" s="143"/>
    </row>
    <row r="78" spans="1:6">
      <c r="B78" s="142"/>
      <c r="C78" s="143"/>
      <c r="D78" s="144"/>
      <c r="E78" s="143"/>
      <c r="F78" s="145"/>
    </row>
    <row r="79" spans="1:6">
      <c r="B79" s="142" t="s">
        <v>168</v>
      </c>
      <c r="C79" s="143"/>
      <c r="D79" s="146"/>
      <c r="E79" s="143"/>
      <c r="F79" s="145"/>
    </row>
    <row r="80" spans="1:6">
      <c r="B80" s="142" t="s">
        <v>345</v>
      </c>
      <c r="C80" s="143">
        <f>6*0.65*1.5</f>
        <v>5.85</v>
      </c>
      <c r="D80" s="146" t="s">
        <v>113</v>
      </c>
      <c r="E80" s="143">
        <v>222.45</v>
      </c>
      <c r="F80" s="145">
        <f t="shared" ref="F80:F82" si="5">+E80*C80</f>
        <v>1301.33</v>
      </c>
    </row>
    <row r="81" spans="1:6">
      <c r="B81" s="142" t="s">
        <v>319</v>
      </c>
      <c r="C81" s="143">
        <v>1</v>
      </c>
      <c r="D81" s="146" t="s">
        <v>129</v>
      </c>
      <c r="E81" s="143">
        <v>800</v>
      </c>
      <c r="F81" s="145">
        <f t="shared" si="5"/>
        <v>800</v>
      </c>
    </row>
    <row r="82" spans="1:6">
      <c r="B82" s="142" t="s">
        <v>346</v>
      </c>
      <c r="C82" s="143">
        <f>C80*1.3</f>
        <v>7.61</v>
      </c>
      <c r="D82" s="144" t="s">
        <v>113</v>
      </c>
      <c r="E82" s="143">
        <v>183.48</v>
      </c>
      <c r="F82" s="145">
        <f t="shared" si="5"/>
        <v>1396.28</v>
      </c>
    </row>
    <row r="83" spans="1:6">
      <c r="B83" s="142"/>
      <c r="C83" s="143"/>
      <c r="D83" s="144"/>
      <c r="E83" s="143"/>
      <c r="F83" s="145"/>
    </row>
    <row r="84" spans="1:6">
      <c r="B84" s="142"/>
      <c r="C84" s="143"/>
      <c r="D84" s="144"/>
      <c r="E84" s="143"/>
      <c r="F84" s="145"/>
    </row>
    <row r="85" spans="1:6">
      <c r="B85" s="142" t="s">
        <v>347</v>
      </c>
      <c r="C85" s="143"/>
      <c r="D85" s="144"/>
      <c r="E85" s="143"/>
      <c r="F85" s="145"/>
    </row>
    <row r="86" spans="1:6">
      <c r="B86" s="142" t="s">
        <v>348</v>
      </c>
      <c r="C86" s="143">
        <f>(0.45+0.3)*2*0.75*6/2</f>
        <v>3.38</v>
      </c>
      <c r="D86" s="144" t="s">
        <v>113</v>
      </c>
      <c r="E86" s="143">
        <v>3950</v>
      </c>
      <c r="F86" s="145">
        <f t="shared" ref="F86:F87" si="6">+E86*C86</f>
        <v>13351</v>
      </c>
    </row>
    <row r="87" spans="1:6">
      <c r="B87" s="142" t="s">
        <v>349</v>
      </c>
      <c r="C87" s="143">
        <f>6*0.2*1.5</f>
        <v>1.8</v>
      </c>
      <c r="D87" s="144" t="s">
        <v>113</v>
      </c>
      <c r="E87" s="143">
        <v>4903.63</v>
      </c>
      <c r="F87" s="145">
        <f t="shared" si="6"/>
        <v>8826.5300000000007</v>
      </c>
    </row>
    <row r="88" spans="1:6">
      <c r="B88" s="142"/>
      <c r="C88" s="143"/>
      <c r="D88" s="144"/>
      <c r="E88" s="143"/>
      <c r="F88" s="145"/>
    </row>
    <row r="89" spans="1:6">
      <c r="B89" s="142"/>
      <c r="D89" s="144"/>
      <c r="E89" s="143"/>
      <c r="F89" s="57">
        <f>SUM(F79:F88)</f>
        <v>25675.14</v>
      </c>
    </row>
    <row r="90" spans="1:6" ht="18.75" thickBot="1">
      <c r="B90" s="142"/>
      <c r="D90" s="144"/>
      <c r="E90" s="143"/>
    </row>
    <row r="91" spans="1:6" ht="19.5" thickTop="1" thickBot="1">
      <c r="A91" s="106"/>
      <c r="B91" s="147" t="s">
        <v>304</v>
      </c>
      <c r="C91" s="148"/>
      <c r="D91" s="149"/>
      <c r="E91" s="148"/>
      <c r="F91" s="150">
        <f>F89/6</f>
        <v>4279.1899999999996</v>
      </c>
    </row>
    <row r="92" spans="1:6" ht="18.75" thickTop="1">
      <c r="C92" s="137"/>
      <c r="D92" s="137"/>
      <c r="E92" s="137"/>
      <c r="F92" s="138"/>
    </row>
    <row r="93" spans="1:6">
      <c r="B93" s="136" t="s">
        <v>350</v>
      </c>
      <c r="C93" s="137"/>
      <c r="D93" s="137"/>
      <c r="E93" s="137"/>
      <c r="F93" s="138"/>
    </row>
    <row r="94" spans="1:6">
      <c r="B94" s="136"/>
      <c r="C94" s="136"/>
      <c r="D94" s="139"/>
      <c r="E94" s="140"/>
      <c r="F94" s="141"/>
    </row>
    <row r="95" spans="1:6">
      <c r="B95" s="142" t="s">
        <v>351</v>
      </c>
      <c r="C95" s="143">
        <f>'ANALISIS DE ACERO'!I137</f>
        <v>3.76</v>
      </c>
      <c r="D95" s="144" t="s">
        <v>352</v>
      </c>
      <c r="E95" s="143">
        <v>3100</v>
      </c>
      <c r="F95" s="145">
        <f>C95*E95</f>
        <v>11656</v>
      </c>
    </row>
    <row r="96" spans="1:6">
      <c r="B96" s="142" t="s">
        <v>353</v>
      </c>
      <c r="C96" s="143">
        <v>0.87</v>
      </c>
      <c r="D96" s="146" t="s">
        <v>352</v>
      </c>
      <c r="E96" s="143">
        <v>285</v>
      </c>
      <c r="F96" s="145">
        <f t="shared" ref="F96:F99" si="7">C96*E96</f>
        <v>247.95</v>
      </c>
    </row>
    <row r="97" spans="1:6">
      <c r="B97" s="142" t="s">
        <v>354</v>
      </c>
      <c r="C97" s="143">
        <v>1.07</v>
      </c>
      <c r="D97" s="146" t="s">
        <v>355</v>
      </c>
      <c r="E97" s="143">
        <v>7906</v>
      </c>
      <c r="F97" s="145">
        <f t="shared" si="7"/>
        <v>8459.42</v>
      </c>
    </row>
    <row r="98" spans="1:6">
      <c r="B98" s="142" t="s">
        <v>356</v>
      </c>
      <c r="C98" s="143">
        <f>+C96*2</f>
        <v>1.74</v>
      </c>
      <c r="D98" s="146" t="s">
        <v>357</v>
      </c>
      <c r="E98" s="143">
        <v>55</v>
      </c>
      <c r="F98" s="145">
        <f t="shared" si="7"/>
        <v>95.7</v>
      </c>
    </row>
    <row r="99" spans="1:6">
      <c r="B99" s="142" t="s">
        <v>358</v>
      </c>
      <c r="C99" s="143">
        <v>1</v>
      </c>
      <c r="D99" s="144" t="s">
        <v>359</v>
      </c>
      <c r="E99" s="143">
        <v>1000</v>
      </c>
      <c r="F99" s="145">
        <f t="shared" si="7"/>
        <v>1000</v>
      </c>
    </row>
    <row r="100" spans="1:6" ht="18.75" thickBot="1">
      <c r="B100" s="142"/>
      <c r="C100" s="143"/>
      <c r="D100" s="144"/>
      <c r="E100" s="143"/>
      <c r="F100" s="145"/>
    </row>
    <row r="101" spans="1:6" ht="19.5" thickTop="1" thickBot="1">
      <c r="A101" s="106"/>
      <c r="B101" s="147" t="s">
        <v>343</v>
      </c>
      <c r="C101" s="148"/>
      <c r="D101" s="149"/>
      <c r="E101" s="148"/>
      <c r="F101" s="150">
        <f>SUM(F95:F100)</f>
        <v>21459.07</v>
      </c>
    </row>
    <row r="102" spans="1:6" ht="18.75" thickTop="1">
      <c r="C102" s="137"/>
      <c r="D102" s="137"/>
      <c r="E102" s="137"/>
      <c r="F102" s="138"/>
    </row>
    <row r="103" spans="1:6">
      <c r="B103" s="136" t="s">
        <v>360</v>
      </c>
      <c r="C103" s="137"/>
      <c r="D103" s="137"/>
      <c r="E103" s="137"/>
      <c r="F103" s="138"/>
    </row>
    <row r="104" spans="1:6">
      <c r="B104" s="136"/>
      <c r="C104" s="136"/>
      <c r="D104" s="139"/>
      <c r="E104" s="140"/>
      <c r="F104" s="141"/>
    </row>
    <row r="105" spans="1:6">
      <c r="B105" s="142" t="s">
        <v>351</v>
      </c>
      <c r="C105" s="143">
        <f>+'ANALISIS DE ACERO'!I29</f>
        <v>2.34</v>
      </c>
      <c r="D105" s="144" t="s">
        <v>352</v>
      </c>
      <c r="E105" s="143">
        <v>3100</v>
      </c>
      <c r="F105" s="145">
        <f>C105*E105</f>
        <v>7254</v>
      </c>
    </row>
    <row r="106" spans="1:6">
      <c r="B106" s="142" t="s">
        <v>353</v>
      </c>
      <c r="C106" s="143">
        <v>0.87</v>
      </c>
      <c r="D106" s="146" t="s">
        <v>352</v>
      </c>
      <c r="E106" s="143">
        <v>285</v>
      </c>
      <c r="F106" s="145">
        <f t="shared" ref="F106:F109" si="8">C106*E106</f>
        <v>247.95</v>
      </c>
    </row>
    <row r="107" spans="1:6">
      <c r="B107" s="142" t="s">
        <v>354</v>
      </c>
      <c r="C107" s="143">
        <v>1.07</v>
      </c>
      <c r="D107" s="146" t="s">
        <v>355</v>
      </c>
      <c r="E107" s="143">
        <f>+E97</f>
        <v>7906</v>
      </c>
      <c r="F107" s="145">
        <f t="shared" si="8"/>
        <v>8459.42</v>
      </c>
    </row>
    <row r="108" spans="1:6">
      <c r="B108" s="142" t="s">
        <v>356</v>
      </c>
      <c r="C108" s="143">
        <f>+C105*2</f>
        <v>4.68</v>
      </c>
      <c r="D108" s="146" t="s">
        <v>357</v>
      </c>
      <c r="E108" s="143">
        <v>55</v>
      </c>
      <c r="F108" s="145">
        <f t="shared" si="8"/>
        <v>257.39999999999998</v>
      </c>
    </row>
    <row r="109" spans="1:6">
      <c r="B109" s="142" t="s">
        <v>358</v>
      </c>
      <c r="C109" s="143">
        <v>1</v>
      </c>
      <c r="D109" s="144" t="s">
        <v>359</v>
      </c>
      <c r="E109" s="143">
        <v>1500</v>
      </c>
      <c r="F109" s="145">
        <f t="shared" si="8"/>
        <v>1500</v>
      </c>
    </row>
    <row r="110" spans="1:6" ht="18.75" thickBot="1">
      <c r="B110" s="142"/>
      <c r="C110" s="143"/>
      <c r="D110" s="144"/>
      <c r="E110" s="143"/>
      <c r="F110" s="145"/>
    </row>
    <row r="111" spans="1:6" ht="19.5" thickTop="1" thickBot="1">
      <c r="A111" s="106"/>
      <c r="B111" s="147" t="s">
        <v>343</v>
      </c>
      <c r="C111" s="148"/>
      <c r="D111" s="149"/>
      <c r="E111" s="148"/>
      <c r="F111" s="150">
        <f>SUM(F105:F110)</f>
        <v>17718.77</v>
      </c>
    </row>
    <row r="112" spans="1:6" ht="18.75" thickTop="1">
      <c r="C112" s="137"/>
      <c r="D112" s="137"/>
      <c r="E112" s="137"/>
      <c r="F112" s="138"/>
    </row>
    <row r="113" spans="1:6">
      <c r="C113" s="137"/>
      <c r="D113" s="137"/>
      <c r="E113" s="137"/>
      <c r="F113" s="138"/>
    </row>
    <row r="114" spans="1:6">
      <c r="B114" s="136" t="s">
        <v>361</v>
      </c>
      <c r="C114" s="137"/>
      <c r="D114" s="137"/>
      <c r="E114" s="137"/>
      <c r="F114" s="138"/>
    </row>
    <row r="115" spans="1:6">
      <c r="B115" s="136"/>
      <c r="C115" s="136"/>
      <c r="D115" s="139"/>
      <c r="E115" s="140"/>
      <c r="F115" s="141"/>
    </row>
    <row r="116" spans="1:6">
      <c r="B116" s="142" t="s">
        <v>351</v>
      </c>
      <c r="C116" s="143">
        <f>+'ANALISIS DE ACERO'!I53</f>
        <v>3.36</v>
      </c>
      <c r="D116" s="144" t="s">
        <v>352</v>
      </c>
      <c r="E116" s="143">
        <f>+E105</f>
        <v>3100</v>
      </c>
      <c r="F116" s="145">
        <f>C116*E116</f>
        <v>10416</v>
      </c>
    </row>
    <row r="117" spans="1:6">
      <c r="B117" s="142" t="s">
        <v>353</v>
      </c>
      <c r="C117" s="143">
        <f>C116</f>
        <v>3.36</v>
      </c>
      <c r="D117" s="146" t="s">
        <v>352</v>
      </c>
      <c r="E117" s="143">
        <f t="shared" ref="E117:E119" si="9">+E106</f>
        <v>285</v>
      </c>
      <c r="F117" s="145">
        <f t="shared" ref="F117:F121" si="10">C117*E117</f>
        <v>957.6</v>
      </c>
    </row>
    <row r="118" spans="1:6">
      <c r="B118" s="142" t="s">
        <v>354</v>
      </c>
      <c r="C118" s="143">
        <v>1.07</v>
      </c>
      <c r="D118" s="146" t="s">
        <v>355</v>
      </c>
      <c r="E118" s="143">
        <f t="shared" si="9"/>
        <v>7906</v>
      </c>
      <c r="F118" s="145">
        <f t="shared" si="10"/>
        <v>8459.42</v>
      </c>
    </row>
    <row r="119" spans="1:6">
      <c r="B119" s="142" t="s">
        <v>356</v>
      </c>
      <c r="C119" s="143">
        <f>+C116*2</f>
        <v>6.72</v>
      </c>
      <c r="D119" s="146" t="s">
        <v>357</v>
      </c>
      <c r="E119" s="143">
        <f t="shared" si="9"/>
        <v>55</v>
      </c>
      <c r="F119" s="145">
        <f t="shared" si="10"/>
        <v>369.6</v>
      </c>
    </row>
    <row r="120" spans="1:6">
      <c r="B120" s="142" t="s">
        <v>362</v>
      </c>
      <c r="C120" s="143">
        <f>+(1/0.25)*2</f>
        <v>8</v>
      </c>
      <c r="D120" s="144" t="s">
        <v>155</v>
      </c>
      <c r="E120" s="143">
        <v>1000</v>
      </c>
      <c r="F120" s="145">
        <f t="shared" si="10"/>
        <v>8000</v>
      </c>
    </row>
    <row r="121" spans="1:6">
      <c r="B121" s="142" t="s">
        <v>363</v>
      </c>
      <c r="C121" s="143">
        <v>1.07</v>
      </c>
      <c r="D121" s="144" t="s">
        <v>355</v>
      </c>
      <c r="E121" s="143">
        <f>+E145</f>
        <v>85</v>
      </c>
      <c r="F121" s="145">
        <f t="shared" si="10"/>
        <v>90.95</v>
      </c>
    </row>
    <row r="122" spans="1:6" ht="18.75" thickBot="1">
      <c r="B122" s="142"/>
      <c r="C122" s="143"/>
      <c r="D122" s="144"/>
      <c r="E122" s="143"/>
      <c r="F122" s="145"/>
    </row>
    <row r="123" spans="1:6" ht="19.5" thickTop="1" thickBot="1">
      <c r="A123" s="106"/>
      <c r="B123" s="147" t="s">
        <v>343</v>
      </c>
      <c r="C123" s="148"/>
      <c r="D123" s="149"/>
      <c r="E123" s="148"/>
      <c r="F123" s="150">
        <f>SUM(F116:F122)</f>
        <v>28293.57</v>
      </c>
    </row>
    <row r="124" spans="1:6" ht="18.75" thickTop="1">
      <c r="C124" s="137"/>
      <c r="D124" s="137"/>
      <c r="E124" s="137"/>
      <c r="F124" s="138"/>
    </row>
    <row r="125" spans="1:6">
      <c r="C125" s="137"/>
      <c r="D125" s="137"/>
      <c r="E125" s="137"/>
      <c r="F125" s="138"/>
    </row>
    <row r="126" spans="1:6">
      <c r="B126" s="136" t="s">
        <v>364</v>
      </c>
      <c r="C126" s="137"/>
      <c r="D126" s="137"/>
      <c r="E126" s="137"/>
      <c r="F126" s="138"/>
    </row>
    <row r="127" spans="1:6">
      <c r="B127" s="136"/>
      <c r="C127" s="136"/>
      <c r="D127" s="139"/>
      <c r="E127" s="140"/>
      <c r="F127" s="141"/>
    </row>
    <row r="128" spans="1:6">
      <c r="B128" s="142" t="s">
        <v>351</v>
      </c>
      <c r="C128" s="143">
        <f>+'ANALISIS DE ACERO'!I83</f>
        <v>3.55</v>
      </c>
      <c r="D128" s="144" t="s">
        <v>352</v>
      </c>
      <c r="E128" s="143">
        <f>+E116</f>
        <v>3100</v>
      </c>
      <c r="F128" s="145">
        <f>C128*E128</f>
        <v>11005</v>
      </c>
    </row>
    <row r="129" spans="1:6">
      <c r="B129" s="142" t="s">
        <v>353</v>
      </c>
      <c r="C129" s="143">
        <f>C128</f>
        <v>3.55</v>
      </c>
      <c r="D129" s="146" t="s">
        <v>352</v>
      </c>
      <c r="E129" s="143">
        <f t="shared" ref="E129:E133" si="11">+E117</f>
        <v>285</v>
      </c>
      <c r="F129" s="145">
        <f t="shared" ref="F129:F133" si="12">C129*E129</f>
        <v>1011.75</v>
      </c>
    </row>
    <row r="130" spans="1:6">
      <c r="B130" s="142" t="s">
        <v>354</v>
      </c>
      <c r="C130" s="143">
        <v>1.07</v>
      </c>
      <c r="D130" s="146" t="s">
        <v>355</v>
      </c>
      <c r="E130" s="143">
        <f t="shared" si="11"/>
        <v>7906</v>
      </c>
      <c r="F130" s="145">
        <f t="shared" si="12"/>
        <v>8459.42</v>
      </c>
    </row>
    <row r="131" spans="1:6">
      <c r="B131" s="142" t="s">
        <v>356</v>
      </c>
      <c r="C131" s="143">
        <f>+C128*2</f>
        <v>7.1</v>
      </c>
      <c r="D131" s="146" t="s">
        <v>357</v>
      </c>
      <c r="E131" s="143">
        <f t="shared" si="11"/>
        <v>55</v>
      </c>
      <c r="F131" s="145">
        <f t="shared" si="12"/>
        <v>390.5</v>
      </c>
    </row>
    <row r="132" spans="1:6">
      <c r="B132" s="142" t="s">
        <v>365</v>
      </c>
      <c r="C132" s="143">
        <f>1/0.15</f>
        <v>6.67</v>
      </c>
      <c r="D132" s="144" t="s">
        <v>155</v>
      </c>
      <c r="E132" s="143">
        <v>450</v>
      </c>
      <c r="F132" s="145">
        <f t="shared" si="12"/>
        <v>3001.5</v>
      </c>
    </row>
    <row r="133" spans="1:6">
      <c r="B133" s="142" t="s">
        <v>363</v>
      </c>
      <c r="C133" s="143">
        <v>1.07</v>
      </c>
      <c r="D133" s="144" t="s">
        <v>355</v>
      </c>
      <c r="E133" s="143">
        <f t="shared" si="11"/>
        <v>85</v>
      </c>
      <c r="F133" s="145">
        <f t="shared" si="12"/>
        <v>90.95</v>
      </c>
    </row>
    <row r="134" spans="1:6" ht="18.75" thickBot="1">
      <c r="B134" s="142"/>
      <c r="C134" s="143"/>
      <c r="D134" s="144"/>
      <c r="E134" s="143"/>
      <c r="F134" s="145"/>
    </row>
    <row r="135" spans="1:6" ht="19.5" thickTop="1" thickBot="1">
      <c r="A135" s="106"/>
      <c r="B135" s="147" t="s">
        <v>343</v>
      </c>
      <c r="C135" s="148"/>
      <c r="D135" s="149"/>
      <c r="E135" s="148"/>
      <c r="F135" s="150">
        <f>SUM(F128:F134)</f>
        <v>23959.119999999999</v>
      </c>
    </row>
    <row r="136" spans="1:6" ht="18.75" thickTop="1">
      <c r="C136" s="137"/>
      <c r="D136" s="137"/>
      <c r="E136" s="137"/>
      <c r="F136" s="138"/>
    </row>
    <row r="137" spans="1:6">
      <c r="C137" s="137"/>
      <c r="D137" s="137"/>
      <c r="E137" s="137"/>
      <c r="F137" s="138"/>
    </row>
    <row r="138" spans="1:6">
      <c r="B138" s="136" t="s">
        <v>366</v>
      </c>
      <c r="C138" s="137"/>
      <c r="D138" s="137"/>
      <c r="E138" s="137"/>
      <c r="F138" s="138"/>
    </row>
    <row r="139" spans="1:6">
      <c r="B139" s="136"/>
      <c r="C139" s="136"/>
      <c r="D139" s="139"/>
      <c r="E139" s="140"/>
      <c r="F139" s="141"/>
    </row>
    <row r="140" spans="1:6">
      <c r="B140" s="142" t="s">
        <v>351</v>
      </c>
      <c r="C140" s="143">
        <f>'ANALISIS DE ACERO'!I161</f>
        <v>1.85</v>
      </c>
      <c r="D140" s="144" t="s">
        <v>352</v>
      </c>
      <c r="E140" s="143">
        <f>+E95</f>
        <v>3100</v>
      </c>
      <c r="F140" s="145">
        <f>C140*E140</f>
        <v>5735</v>
      </c>
    </row>
    <row r="141" spans="1:6">
      <c r="B141" s="142" t="s">
        <v>353</v>
      </c>
      <c r="C141" s="143">
        <f>C140</f>
        <v>1.85</v>
      </c>
      <c r="D141" s="146" t="s">
        <v>352</v>
      </c>
      <c r="E141" s="143">
        <v>285</v>
      </c>
      <c r="F141" s="145">
        <f t="shared" ref="F141:F145" si="13">C141*E141</f>
        <v>527.25</v>
      </c>
    </row>
    <row r="142" spans="1:6">
      <c r="B142" s="142" t="s">
        <v>354</v>
      </c>
      <c r="C142" s="143">
        <v>1.07</v>
      </c>
      <c r="D142" s="146" t="s">
        <v>355</v>
      </c>
      <c r="E142" s="143">
        <f>+E97</f>
        <v>7906</v>
      </c>
      <c r="F142" s="145">
        <f t="shared" si="13"/>
        <v>8459.42</v>
      </c>
    </row>
    <row r="143" spans="1:6">
      <c r="B143" s="142" t="s">
        <v>356</v>
      </c>
      <c r="C143" s="143">
        <f>+C141*2</f>
        <v>3.7</v>
      </c>
      <c r="D143" s="146" t="s">
        <v>357</v>
      </c>
      <c r="E143" s="143">
        <f>+E98</f>
        <v>55</v>
      </c>
      <c r="F143" s="145">
        <f t="shared" si="13"/>
        <v>203.5</v>
      </c>
    </row>
    <row r="144" spans="1:6">
      <c r="B144" s="142" t="s">
        <v>362</v>
      </c>
      <c r="C144" s="143">
        <f>+(1/0.3)*2</f>
        <v>6.67</v>
      </c>
      <c r="D144" s="144" t="s">
        <v>155</v>
      </c>
      <c r="E144" s="143">
        <v>950</v>
      </c>
      <c r="F144" s="145">
        <f t="shared" si="13"/>
        <v>6336.5</v>
      </c>
    </row>
    <row r="145" spans="1:6">
      <c r="B145" s="142" t="s">
        <v>363</v>
      </c>
      <c r="C145" s="143">
        <v>1.07</v>
      </c>
      <c r="D145" s="144" t="s">
        <v>355</v>
      </c>
      <c r="E145" s="143">
        <v>85</v>
      </c>
      <c r="F145" s="145">
        <f t="shared" si="13"/>
        <v>90.95</v>
      </c>
    </row>
    <row r="146" spans="1:6" ht="18.75" thickBot="1">
      <c r="B146" s="142"/>
      <c r="C146" s="143"/>
      <c r="D146" s="144"/>
      <c r="E146" s="143"/>
      <c r="F146" s="145"/>
    </row>
    <row r="147" spans="1:6" ht="19.5" thickTop="1" thickBot="1">
      <c r="A147" s="106"/>
      <c r="B147" s="147" t="s">
        <v>343</v>
      </c>
      <c r="C147" s="148"/>
      <c r="D147" s="149"/>
      <c r="E147" s="148"/>
      <c r="F147" s="150">
        <f>SUM(F140:F146)</f>
        <v>21352.62</v>
      </c>
    </row>
    <row r="148" spans="1:6" ht="18.75" customHeight="1" thickTop="1">
      <c r="C148" s="137"/>
      <c r="D148" s="137"/>
      <c r="E148" s="137"/>
      <c r="F148" s="138"/>
    </row>
    <row r="149" spans="1:6">
      <c r="C149" s="137"/>
      <c r="D149" s="137"/>
      <c r="E149" s="137"/>
      <c r="F149" s="138"/>
    </row>
    <row r="150" spans="1:6">
      <c r="B150" s="136" t="s">
        <v>367</v>
      </c>
      <c r="C150" s="137"/>
      <c r="D150" s="137"/>
      <c r="E150" s="137"/>
      <c r="F150" s="138"/>
    </row>
    <row r="151" spans="1:6">
      <c r="B151" s="136"/>
      <c r="C151" s="136"/>
      <c r="D151" s="139"/>
      <c r="E151" s="140"/>
      <c r="F151" s="141"/>
    </row>
    <row r="152" spans="1:6">
      <c r="B152" s="142" t="s">
        <v>351</v>
      </c>
      <c r="C152" s="143">
        <f>+'ANALISIS DE ACERO'!I215</f>
        <v>9.92</v>
      </c>
      <c r="D152" s="144" t="s">
        <v>352</v>
      </c>
      <c r="E152" s="143">
        <f>+E140</f>
        <v>3100</v>
      </c>
      <c r="F152" s="145">
        <f>C152*E152</f>
        <v>30752</v>
      </c>
    </row>
    <row r="153" spans="1:6">
      <c r="B153" s="142" t="s">
        <v>353</v>
      </c>
      <c r="C153" s="143">
        <f>C152</f>
        <v>9.92</v>
      </c>
      <c r="D153" s="146" t="s">
        <v>352</v>
      </c>
      <c r="E153" s="143">
        <f t="shared" ref="E153:E157" si="14">+E141</f>
        <v>285</v>
      </c>
      <c r="F153" s="145">
        <f t="shared" ref="F153:F157" si="15">C153*E153</f>
        <v>2827.2</v>
      </c>
    </row>
    <row r="154" spans="1:6">
      <c r="B154" s="142" t="s">
        <v>354</v>
      </c>
      <c r="C154" s="143">
        <v>1.07</v>
      </c>
      <c r="D154" s="146" t="s">
        <v>355</v>
      </c>
      <c r="E154" s="143">
        <f t="shared" si="14"/>
        <v>7906</v>
      </c>
      <c r="F154" s="145">
        <f t="shared" si="15"/>
        <v>8459.42</v>
      </c>
    </row>
    <row r="155" spans="1:6">
      <c r="B155" s="142" t="s">
        <v>356</v>
      </c>
      <c r="C155" s="143">
        <f>+C153*2</f>
        <v>19.84</v>
      </c>
      <c r="D155" s="146" t="s">
        <v>357</v>
      </c>
      <c r="E155" s="143">
        <f t="shared" si="14"/>
        <v>55</v>
      </c>
      <c r="F155" s="145">
        <f t="shared" si="15"/>
        <v>1091.2</v>
      </c>
    </row>
    <row r="156" spans="1:6">
      <c r="B156" s="142" t="s">
        <v>362</v>
      </c>
      <c r="C156" s="143">
        <f>+(1/0.3)*2</f>
        <v>6.67</v>
      </c>
      <c r="D156" s="144" t="s">
        <v>155</v>
      </c>
      <c r="E156" s="143">
        <f t="shared" si="14"/>
        <v>950</v>
      </c>
      <c r="F156" s="145">
        <f t="shared" si="15"/>
        <v>6336.5</v>
      </c>
    </row>
    <row r="157" spans="1:6">
      <c r="B157" s="142" t="s">
        <v>363</v>
      </c>
      <c r="C157" s="143">
        <v>1.07</v>
      </c>
      <c r="D157" s="144" t="s">
        <v>355</v>
      </c>
      <c r="E157" s="143">
        <f t="shared" si="14"/>
        <v>85</v>
      </c>
      <c r="F157" s="145">
        <f t="shared" si="15"/>
        <v>90.95</v>
      </c>
    </row>
    <row r="158" spans="1:6" ht="18.75" thickBot="1">
      <c r="B158" s="142"/>
      <c r="C158" s="143"/>
      <c r="D158" s="144"/>
      <c r="E158" s="143"/>
      <c r="F158" s="145"/>
    </row>
    <row r="159" spans="1:6" ht="19.5" thickTop="1" thickBot="1">
      <c r="A159" s="106"/>
      <c r="B159" s="147" t="s">
        <v>343</v>
      </c>
      <c r="C159" s="148"/>
      <c r="D159" s="149"/>
      <c r="E159" s="148"/>
      <c r="F159" s="150">
        <f>SUM(F152:F158)</f>
        <v>49557.27</v>
      </c>
    </row>
    <row r="160" spans="1:6" ht="18.75" thickTop="1">
      <c r="C160" s="137"/>
      <c r="D160" s="137"/>
      <c r="E160" s="137"/>
      <c r="F160" s="138"/>
    </row>
    <row r="161" spans="1:6">
      <c r="C161" s="137"/>
      <c r="D161" s="137"/>
      <c r="E161" s="137"/>
      <c r="F161" s="138"/>
    </row>
    <row r="162" spans="1:6">
      <c r="B162" s="136" t="s">
        <v>368</v>
      </c>
      <c r="C162" s="137"/>
      <c r="D162" s="137"/>
      <c r="E162" s="137"/>
      <c r="F162" s="138"/>
    </row>
    <row r="163" spans="1:6">
      <c r="B163" s="136"/>
      <c r="C163" s="136"/>
      <c r="D163" s="139"/>
      <c r="E163" s="140"/>
      <c r="F163" s="141"/>
    </row>
    <row r="164" spans="1:6">
      <c r="B164" s="142" t="s">
        <v>351</v>
      </c>
      <c r="C164" s="143">
        <f>+'ANALISIS DE ACERO'!I289</f>
        <v>7.36</v>
      </c>
      <c r="D164" s="144" t="s">
        <v>352</v>
      </c>
      <c r="E164" s="143">
        <f>+E95</f>
        <v>3100</v>
      </c>
      <c r="F164" s="145">
        <f>C164*E164</f>
        <v>22816</v>
      </c>
    </row>
    <row r="165" spans="1:6">
      <c r="B165" s="142" t="s">
        <v>353</v>
      </c>
      <c r="C165" s="143">
        <f>C164</f>
        <v>7.36</v>
      </c>
      <c r="D165" s="146" t="s">
        <v>352</v>
      </c>
      <c r="E165" s="143">
        <f>+E96</f>
        <v>285</v>
      </c>
      <c r="F165" s="145">
        <f t="shared" ref="F165:F169" si="16">C165*E165</f>
        <v>2097.6</v>
      </c>
    </row>
    <row r="166" spans="1:6">
      <c r="B166" s="142" t="s">
        <v>354</v>
      </c>
      <c r="C166" s="143">
        <v>1.07</v>
      </c>
      <c r="D166" s="146" t="s">
        <v>355</v>
      </c>
      <c r="E166" s="143">
        <f>+E97</f>
        <v>7906</v>
      </c>
      <c r="F166" s="145">
        <f t="shared" si="16"/>
        <v>8459.42</v>
      </c>
    </row>
    <row r="167" spans="1:6">
      <c r="B167" s="142" t="s">
        <v>356</v>
      </c>
      <c r="C167" s="143">
        <f>+C165*2</f>
        <v>14.72</v>
      </c>
      <c r="D167" s="146" t="s">
        <v>357</v>
      </c>
      <c r="E167" s="143">
        <f>+E98</f>
        <v>55</v>
      </c>
      <c r="F167" s="145">
        <f t="shared" si="16"/>
        <v>809.6</v>
      </c>
    </row>
    <row r="168" spans="1:6">
      <c r="B168" s="142" t="s">
        <v>362</v>
      </c>
      <c r="C168" s="143">
        <f>+(1/0.25)</f>
        <v>4</v>
      </c>
      <c r="D168" s="144" t="s">
        <v>155</v>
      </c>
      <c r="E168" s="143">
        <v>575</v>
      </c>
      <c r="F168" s="145">
        <f t="shared" si="16"/>
        <v>2300</v>
      </c>
    </row>
    <row r="169" spans="1:6">
      <c r="B169" s="142" t="s">
        <v>363</v>
      </c>
      <c r="C169" s="143">
        <v>1.07</v>
      </c>
      <c r="D169" s="144" t="s">
        <v>355</v>
      </c>
      <c r="E169" s="143">
        <v>85</v>
      </c>
      <c r="F169" s="145">
        <f t="shared" si="16"/>
        <v>90.95</v>
      </c>
    </row>
    <row r="170" spans="1:6" ht="18.75" thickBot="1">
      <c r="B170" s="142"/>
      <c r="C170" s="143"/>
      <c r="D170" s="144"/>
      <c r="E170" s="143"/>
      <c r="F170" s="145"/>
    </row>
    <row r="171" spans="1:6" ht="19.5" thickTop="1" thickBot="1">
      <c r="A171" s="106"/>
      <c r="B171" s="147" t="s">
        <v>343</v>
      </c>
      <c r="C171" s="148"/>
      <c r="D171" s="149"/>
      <c r="E171" s="148"/>
      <c r="F171" s="150">
        <f>SUM(F164:F170)</f>
        <v>36573.57</v>
      </c>
    </row>
    <row r="172" spans="1:6" ht="18.75" thickTop="1">
      <c r="C172" s="137"/>
      <c r="D172" s="137"/>
      <c r="E172" s="137"/>
      <c r="F172" s="138"/>
    </row>
    <row r="173" spans="1:6">
      <c r="C173" s="137"/>
      <c r="D173" s="137"/>
      <c r="E173" s="137"/>
      <c r="F173" s="138"/>
    </row>
    <row r="174" spans="1:6">
      <c r="B174" s="136" t="s">
        <v>369</v>
      </c>
      <c r="C174" s="137"/>
      <c r="D174" s="137"/>
      <c r="E174" s="137"/>
      <c r="F174" s="138"/>
    </row>
    <row r="175" spans="1:6">
      <c r="B175" s="136"/>
      <c r="C175" s="136"/>
      <c r="D175" s="139"/>
      <c r="E175" s="140"/>
      <c r="F175" s="141"/>
    </row>
    <row r="176" spans="1:6">
      <c r="B176" s="142" t="s">
        <v>351</v>
      </c>
      <c r="C176" s="143">
        <f>+'ANALISIS DE ACERO'!I191</f>
        <v>3.48</v>
      </c>
      <c r="D176" s="144" t="s">
        <v>352</v>
      </c>
      <c r="E176" s="143">
        <f>+E164</f>
        <v>3100</v>
      </c>
      <c r="F176" s="145">
        <f>C176*E176</f>
        <v>10788</v>
      </c>
    </row>
    <row r="177" spans="1:6">
      <c r="B177" s="142" t="s">
        <v>353</v>
      </c>
      <c r="C177" s="143">
        <f>C176</f>
        <v>3.48</v>
      </c>
      <c r="D177" s="146" t="s">
        <v>352</v>
      </c>
      <c r="E177" s="143">
        <v>285</v>
      </c>
      <c r="F177" s="145">
        <f t="shared" ref="F177:F181" si="17">C177*E177</f>
        <v>991.8</v>
      </c>
    </row>
    <row r="178" spans="1:6">
      <c r="B178" s="142" t="s">
        <v>354</v>
      </c>
      <c r="C178" s="143">
        <v>1.07</v>
      </c>
      <c r="D178" s="146" t="s">
        <v>355</v>
      </c>
      <c r="E178" s="143">
        <f>+E166</f>
        <v>7906</v>
      </c>
      <c r="F178" s="145">
        <f t="shared" si="17"/>
        <v>8459.42</v>
      </c>
    </row>
    <row r="179" spans="1:6">
      <c r="B179" s="142" t="s">
        <v>356</v>
      </c>
      <c r="C179" s="143">
        <f>+C177*2</f>
        <v>6.96</v>
      </c>
      <c r="D179" s="146" t="s">
        <v>357</v>
      </c>
      <c r="E179" s="143">
        <f>+E167</f>
        <v>55</v>
      </c>
      <c r="F179" s="145">
        <f t="shared" si="17"/>
        <v>382.8</v>
      </c>
    </row>
    <row r="180" spans="1:6">
      <c r="B180" s="142" t="s">
        <v>362</v>
      </c>
      <c r="C180" s="143">
        <v>1</v>
      </c>
      <c r="D180" s="144" t="s">
        <v>129</v>
      </c>
      <c r="E180" s="143">
        <f>+E156</f>
        <v>950</v>
      </c>
      <c r="F180" s="145">
        <f t="shared" si="17"/>
        <v>950</v>
      </c>
    </row>
    <row r="181" spans="1:6">
      <c r="B181" s="142" t="s">
        <v>363</v>
      </c>
      <c r="C181" s="143">
        <f>+C178</f>
        <v>1.07</v>
      </c>
      <c r="D181" s="144" t="s">
        <v>355</v>
      </c>
      <c r="E181" s="143">
        <v>85</v>
      </c>
      <c r="F181" s="145">
        <f t="shared" si="17"/>
        <v>90.95</v>
      </c>
    </row>
    <row r="182" spans="1:6" ht="18.75" thickBot="1">
      <c r="B182" s="142"/>
      <c r="C182" s="143"/>
      <c r="D182" s="144"/>
      <c r="E182" s="143"/>
      <c r="F182" s="145"/>
    </row>
    <row r="183" spans="1:6" ht="19.5" thickTop="1" thickBot="1">
      <c r="A183" s="106"/>
      <c r="B183" s="147" t="s">
        <v>343</v>
      </c>
      <c r="C183" s="148"/>
      <c r="D183" s="149"/>
      <c r="E183" s="148"/>
      <c r="F183" s="150">
        <f>SUM(F176:F182)</f>
        <v>21662.97</v>
      </c>
    </row>
    <row r="184" spans="1:6" ht="18.75" thickTop="1">
      <c r="C184" s="137"/>
      <c r="D184" s="137"/>
      <c r="E184" s="137"/>
      <c r="F184" s="138"/>
    </row>
    <row r="185" spans="1:6">
      <c r="C185" s="137"/>
      <c r="D185" s="137"/>
      <c r="E185" s="137"/>
      <c r="F185" s="138"/>
    </row>
    <row r="186" spans="1:6">
      <c r="B186" s="136" t="s">
        <v>370</v>
      </c>
      <c r="C186" s="137"/>
      <c r="D186" s="137"/>
      <c r="E186" s="137"/>
      <c r="F186" s="138"/>
    </row>
    <row r="187" spans="1:6">
      <c r="B187" s="136"/>
      <c r="C187" s="136"/>
      <c r="D187" s="139"/>
      <c r="E187" s="140"/>
      <c r="F187" s="141"/>
    </row>
    <row r="188" spans="1:6">
      <c r="B188" s="142" t="s">
        <v>351</v>
      </c>
      <c r="C188" s="143">
        <f>+'ANALISIS DE ACERO'!I215</f>
        <v>9.92</v>
      </c>
      <c r="D188" s="144" t="s">
        <v>352</v>
      </c>
      <c r="E188" s="143">
        <f>+E176</f>
        <v>3100</v>
      </c>
      <c r="F188" s="145">
        <f>C188*E188</f>
        <v>30752</v>
      </c>
    </row>
    <row r="189" spans="1:6">
      <c r="B189" s="142" t="s">
        <v>353</v>
      </c>
      <c r="C189" s="143">
        <f>C188</f>
        <v>9.92</v>
      </c>
      <c r="D189" s="146" t="s">
        <v>352</v>
      </c>
      <c r="E189" s="143">
        <f t="shared" ref="E189:E191" si="18">+E177</f>
        <v>285</v>
      </c>
      <c r="F189" s="145">
        <f t="shared" ref="F189:F193" si="19">C189*E189</f>
        <v>2827.2</v>
      </c>
    </row>
    <row r="190" spans="1:6">
      <c r="B190" s="142" t="s">
        <v>354</v>
      </c>
      <c r="C190" s="143">
        <v>1.07</v>
      </c>
      <c r="D190" s="146" t="s">
        <v>355</v>
      </c>
      <c r="E190" s="143">
        <f t="shared" si="18"/>
        <v>7906</v>
      </c>
      <c r="F190" s="145">
        <f t="shared" si="19"/>
        <v>8459.42</v>
      </c>
    </row>
    <row r="191" spans="1:6">
      <c r="B191" s="142" t="s">
        <v>356</v>
      </c>
      <c r="C191" s="143">
        <f>+C189*2</f>
        <v>19.84</v>
      </c>
      <c r="D191" s="146" t="s">
        <v>357</v>
      </c>
      <c r="E191" s="143">
        <f t="shared" si="18"/>
        <v>55</v>
      </c>
      <c r="F191" s="145">
        <f t="shared" si="19"/>
        <v>1091.2</v>
      </c>
    </row>
    <row r="192" spans="1:6">
      <c r="B192" s="142" t="s">
        <v>362</v>
      </c>
      <c r="C192" s="143">
        <f>+(1/0.15)*2</f>
        <v>13.33</v>
      </c>
      <c r="D192" s="144" t="s">
        <v>155</v>
      </c>
      <c r="E192" s="143">
        <f>+E180</f>
        <v>950</v>
      </c>
      <c r="F192" s="145">
        <f t="shared" si="19"/>
        <v>12663.5</v>
      </c>
    </row>
    <row r="193" spans="1:6">
      <c r="B193" s="142" t="s">
        <v>363</v>
      </c>
      <c r="C193" s="143">
        <v>1.07</v>
      </c>
      <c r="D193" s="144" t="s">
        <v>355</v>
      </c>
      <c r="E193" s="143">
        <v>85</v>
      </c>
      <c r="F193" s="145">
        <f t="shared" si="19"/>
        <v>90.95</v>
      </c>
    </row>
    <row r="194" spans="1:6" ht="18.75" thickBot="1">
      <c r="B194" s="142"/>
      <c r="C194" s="143"/>
      <c r="D194" s="144"/>
      <c r="E194" s="143"/>
      <c r="F194" s="145"/>
    </row>
    <row r="195" spans="1:6" ht="19.5" thickTop="1" thickBot="1">
      <c r="A195" s="106"/>
      <c r="B195" s="147" t="s">
        <v>343</v>
      </c>
      <c r="C195" s="148"/>
      <c r="D195" s="149"/>
      <c r="E195" s="148"/>
      <c r="F195" s="150">
        <f>SUM(F188:F194)</f>
        <v>55884.27</v>
      </c>
    </row>
    <row r="196" spans="1:6" ht="18.75" thickTop="1">
      <c r="C196" s="137"/>
      <c r="D196" s="137"/>
      <c r="E196" s="137"/>
      <c r="F196" s="138"/>
    </row>
    <row r="197" spans="1:6">
      <c r="C197" s="137"/>
      <c r="D197" s="137"/>
      <c r="E197" s="137"/>
      <c r="F197" s="138"/>
    </row>
    <row r="198" spans="1:6">
      <c r="B198" s="136" t="s">
        <v>371</v>
      </c>
      <c r="C198" s="137"/>
      <c r="D198" s="137"/>
      <c r="E198" s="137"/>
      <c r="F198" s="138"/>
    </row>
    <row r="199" spans="1:6">
      <c r="B199" s="136"/>
      <c r="C199" s="136"/>
      <c r="D199" s="139"/>
      <c r="E199" s="140"/>
      <c r="F199" s="141"/>
    </row>
    <row r="200" spans="1:6">
      <c r="B200" s="142" t="s">
        <v>351</v>
      </c>
      <c r="C200" s="143">
        <f>+'ANALISIS DE ACERO'!I240</f>
        <v>4.3600000000000003</v>
      </c>
      <c r="D200" s="144" t="s">
        <v>352</v>
      </c>
      <c r="E200" s="143">
        <f>+E188</f>
        <v>3100</v>
      </c>
      <c r="F200" s="145">
        <f>C200*E200</f>
        <v>13516</v>
      </c>
    </row>
    <row r="201" spans="1:6">
      <c r="B201" s="142" t="s">
        <v>353</v>
      </c>
      <c r="C201" s="143">
        <f>C200</f>
        <v>4.3600000000000003</v>
      </c>
      <c r="D201" s="146" t="s">
        <v>352</v>
      </c>
      <c r="E201" s="143">
        <f t="shared" ref="E201:E203" si="20">+E189</f>
        <v>285</v>
      </c>
      <c r="F201" s="145">
        <f t="shared" ref="F201:F205" si="21">C201*E201</f>
        <v>1242.5999999999999</v>
      </c>
    </row>
    <row r="202" spans="1:6">
      <c r="B202" s="142" t="s">
        <v>354</v>
      </c>
      <c r="C202" s="143">
        <v>1.07</v>
      </c>
      <c r="D202" s="146" t="s">
        <v>355</v>
      </c>
      <c r="E202" s="143">
        <f t="shared" si="20"/>
        <v>7906</v>
      </c>
      <c r="F202" s="145">
        <f t="shared" si="21"/>
        <v>8459.42</v>
      </c>
    </row>
    <row r="203" spans="1:6">
      <c r="B203" s="142" t="s">
        <v>356</v>
      </c>
      <c r="C203" s="143">
        <f>+C201*2</f>
        <v>8.7200000000000006</v>
      </c>
      <c r="D203" s="146" t="s">
        <v>357</v>
      </c>
      <c r="E203" s="143">
        <f t="shared" si="20"/>
        <v>55</v>
      </c>
      <c r="F203" s="145">
        <f t="shared" si="21"/>
        <v>479.6</v>
      </c>
    </row>
    <row r="204" spans="1:6">
      <c r="B204" s="142" t="s">
        <v>362</v>
      </c>
      <c r="C204" s="143">
        <f>1/(0.55*0.25)</f>
        <v>7.27</v>
      </c>
      <c r="D204" s="144" t="s">
        <v>372</v>
      </c>
      <c r="E204" s="143">
        <v>450</v>
      </c>
      <c r="F204" s="145">
        <f t="shared" si="21"/>
        <v>3271.5</v>
      </c>
    </row>
    <row r="205" spans="1:6">
      <c r="B205" s="142" t="s">
        <v>363</v>
      </c>
      <c r="C205" s="143">
        <v>1.07</v>
      </c>
      <c r="D205" s="144" t="s">
        <v>355</v>
      </c>
      <c r="E205" s="143">
        <v>85</v>
      </c>
      <c r="F205" s="145">
        <f t="shared" si="21"/>
        <v>90.95</v>
      </c>
    </row>
    <row r="206" spans="1:6" ht="18.75" thickBot="1">
      <c r="B206" s="142"/>
      <c r="C206" s="143"/>
      <c r="D206" s="144"/>
      <c r="E206" s="143"/>
      <c r="F206" s="145"/>
    </row>
    <row r="207" spans="1:6" ht="19.5" thickTop="1" thickBot="1">
      <c r="A207" s="106"/>
      <c r="B207" s="147" t="s">
        <v>343</v>
      </c>
      <c r="C207" s="148"/>
      <c r="D207" s="149"/>
      <c r="E207" s="148"/>
      <c r="F207" s="150">
        <f>SUM(F200:F206)</f>
        <v>27060.07</v>
      </c>
    </row>
    <row r="208" spans="1:6" ht="18.75" thickTop="1">
      <c r="C208" s="137"/>
      <c r="D208" s="137"/>
      <c r="E208" s="137"/>
      <c r="F208" s="138"/>
    </row>
    <row r="209" spans="1:6">
      <c r="C209" s="137"/>
      <c r="D209" s="137"/>
      <c r="E209" s="137"/>
      <c r="F209" s="138"/>
    </row>
    <row r="210" spans="1:6">
      <c r="B210" s="136" t="s">
        <v>373</v>
      </c>
      <c r="C210" s="137"/>
      <c r="D210" s="137"/>
      <c r="E210" s="137"/>
      <c r="F210" s="138"/>
    </row>
    <row r="211" spans="1:6">
      <c r="B211" s="136"/>
      <c r="C211" s="136"/>
      <c r="D211" s="139"/>
      <c r="E211" s="140"/>
      <c r="F211" s="141"/>
    </row>
    <row r="212" spans="1:6">
      <c r="B212" s="142" t="s">
        <v>351</v>
      </c>
      <c r="C212" s="143">
        <f>+'ANALISIS DE ACERO'!I264</f>
        <v>6.1</v>
      </c>
      <c r="D212" s="144" t="s">
        <v>352</v>
      </c>
      <c r="E212" s="143">
        <f>+E200</f>
        <v>3100</v>
      </c>
      <c r="F212" s="145">
        <f>C212*E212</f>
        <v>18910</v>
      </c>
    </row>
    <row r="213" spans="1:6">
      <c r="B213" s="142" t="s">
        <v>353</v>
      </c>
      <c r="C213" s="143">
        <f>C212</f>
        <v>6.1</v>
      </c>
      <c r="D213" s="146" t="s">
        <v>352</v>
      </c>
      <c r="E213" s="143">
        <f t="shared" ref="E213:E215" si="22">+E201</f>
        <v>285</v>
      </c>
      <c r="F213" s="145">
        <f t="shared" ref="F213:F217" si="23">C213*E213</f>
        <v>1738.5</v>
      </c>
    </row>
    <row r="214" spans="1:6">
      <c r="B214" s="142" t="s">
        <v>354</v>
      </c>
      <c r="C214" s="143">
        <v>1.07</v>
      </c>
      <c r="D214" s="146" t="s">
        <v>355</v>
      </c>
      <c r="E214" s="143">
        <f t="shared" si="22"/>
        <v>7906</v>
      </c>
      <c r="F214" s="145">
        <f t="shared" si="23"/>
        <v>8459.42</v>
      </c>
    </row>
    <row r="215" spans="1:6">
      <c r="B215" s="142" t="s">
        <v>356</v>
      </c>
      <c r="C215" s="143">
        <f>+C213*2</f>
        <v>12.2</v>
      </c>
      <c r="D215" s="146" t="s">
        <v>357</v>
      </c>
      <c r="E215" s="143">
        <f t="shared" si="22"/>
        <v>55</v>
      </c>
      <c r="F215" s="145">
        <f t="shared" si="23"/>
        <v>671</v>
      </c>
    </row>
    <row r="216" spans="1:6">
      <c r="B216" s="142" t="s">
        <v>362</v>
      </c>
      <c r="C216" s="143">
        <f>1/(0.4*0.25)</f>
        <v>10</v>
      </c>
      <c r="D216" s="144" t="s">
        <v>372</v>
      </c>
      <c r="E216" s="143">
        <v>450</v>
      </c>
      <c r="F216" s="145">
        <f t="shared" si="23"/>
        <v>4500</v>
      </c>
    </row>
    <row r="217" spans="1:6">
      <c r="B217" s="142" t="s">
        <v>363</v>
      </c>
      <c r="C217" s="143">
        <v>1.07</v>
      </c>
      <c r="D217" s="144" t="s">
        <v>355</v>
      </c>
      <c r="E217" s="143">
        <v>85</v>
      </c>
      <c r="F217" s="145">
        <f t="shared" si="23"/>
        <v>90.95</v>
      </c>
    </row>
    <row r="218" spans="1:6" ht="18.75" thickBot="1">
      <c r="B218" s="142"/>
      <c r="C218" s="143"/>
      <c r="D218" s="144"/>
      <c r="E218" s="143"/>
      <c r="F218" s="145"/>
    </row>
    <row r="219" spans="1:6" ht="19.5" thickTop="1" thickBot="1">
      <c r="A219" s="106"/>
      <c r="B219" s="147" t="s">
        <v>343</v>
      </c>
      <c r="C219" s="148"/>
      <c r="D219" s="149"/>
      <c r="E219" s="148"/>
      <c r="F219" s="150">
        <f>SUM(F212:F218)</f>
        <v>34369.870000000003</v>
      </c>
    </row>
    <row r="220" spans="1:6" ht="18.75" thickTop="1">
      <c r="C220" s="137"/>
      <c r="D220" s="137"/>
      <c r="E220" s="137"/>
      <c r="F220" s="138"/>
    </row>
    <row r="221" spans="1:6">
      <c r="C221" s="137"/>
      <c r="D221" s="137"/>
      <c r="E221" s="137"/>
      <c r="F221" s="138"/>
    </row>
    <row r="222" spans="1:6">
      <c r="B222" s="136" t="s">
        <v>374</v>
      </c>
      <c r="C222" s="137"/>
      <c r="D222" s="137"/>
      <c r="E222" s="137"/>
      <c r="F222" s="138"/>
    </row>
    <row r="223" spans="1:6">
      <c r="B223" s="136"/>
      <c r="C223" s="136"/>
      <c r="D223" s="139"/>
      <c r="E223" s="140"/>
      <c r="F223" s="141"/>
    </row>
    <row r="224" spans="1:6">
      <c r="B224" s="142" t="s">
        <v>351</v>
      </c>
      <c r="C224" s="143">
        <f>+C164</f>
        <v>7.36</v>
      </c>
      <c r="D224" s="144" t="s">
        <v>352</v>
      </c>
      <c r="E224" s="143">
        <v>1850</v>
      </c>
      <c r="F224" s="145">
        <f>C224*E224</f>
        <v>13616</v>
      </c>
    </row>
    <row r="225" spans="1:6">
      <c r="B225" s="142" t="s">
        <v>353</v>
      </c>
      <c r="C225" s="143">
        <f>C224</f>
        <v>7.36</v>
      </c>
      <c r="D225" s="146" t="s">
        <v>352</v>
      </c>
      <c r="E225" s="143">
        <v>285</v>
      </c>
      <c r="F225" s="145">
        <f t="shared" ref="F225:F229" si="24">C225*E225</f>
        <v>2097.6</v>
      </c>
    </row>
    <row r="226" spans="1:6">
      <c r="B226" s="142" t="s">
        <v>354</v>
      </c>
      <c r="C226" s="143">
        <v>1.07</v>
      </c>
      <c r="D226" s="146" t="s">
        <v>355</v>
      </c>
      <c r="E226" s="143">
        <v>6773.2</v>
      </c>
      <c r="F226" s="145">
        <f t="shared" si="24"/>
        <v>7247.32</v>
      </c>
    </row>
    <row r="227" spans="1:6">
      <c r="B227" s="142" t="s">
        <v>356</v>
      </c>
      <c r="C227" s="143">
        <f>+C225*2</f>
        <v>14.72</v>
      </c>
      <c r="D227" s="146" t="s">
        <v>357</v>
      </c>
      <c r="E227" s="143">
        <v>45</v>
      </c>
      <c r="F227" s="145">
        <f t="shared" si="24"/>
        <v>662.4</v>
      </c>
    </row>
    <row r="228" spans="1:6">
      <c r="B228" s="142" t="s">
        <v>362</v>
      </c>
      <c r="C228" s="143">
        <f>+(1/0.25)</f>
        <v>4</v>
      </c>
      <c r="D228" s="144" t="s">
        <v>155</v>
      </c>
      <c r="E228" s="143">
        <f>+E168</f>
        <v>575</v>
      </c>
      <c r="F228" s="145">
        <f t="shared" si="24"/>
        <v>2300</v>
      </c>
    </row>
    <row r="229" spans="1:6" ht="35.25" customHeight="1">
      <c r="B229" s="142" t="s">
        <v>363</v>
      </c>
      <c r="C229" s="143">
        <v>1.07</v>
      </c>
      <c r="D229" s="144" t="s">
        <v>355</v>
      </c>
      <c r="E229" s="143">
        <v>85</v>
      </c>
      <c r="F229" s="145">
        <f t="shared" si="24"/>
        <v>90.95</v>
      </c>
    </row>
    <row r="230" spans="1:6" ht="18.75" thickBot="1">
      <c r="B230" s="142"/>
      <c r="C230" s="143"/>
      <c r="D230" s="144"/>
      <c r="E230" s="143"/>
      <c r="F230" s="145"/>
    </row>
    <row r="231" spans="1:6" ht="35.25" customHeight="1" thickTop="1" thickBot="1">
      <c r="A231" s="106"/>
      <c r="B231" s="147" t="s">
        <v>343</v>
      </c>
      <c r="C231" s="148"/>
      <c r="D231" s="149"/>
      <c r="E231" s="148"/>
      <c r="F231" s="150">
        <f>SUM(F224:F230)</f>
        <v>26014.27</v>
      </c>
    </row>
    <row r="232" spans="1:6" ht="18.75" thickTop="1">
      <c r="C232" s="137"/>
      <c r="D232" s="137"/>
      <c r="E232" s="137"/>
      <c r="F232" s="138"/>
    </row>
    <row r="233" spans="1:6">
      <c r="B233" s="136" t="s">
        <v>375</v>
      </c>
      <c r="C233" s="137"/>
      <c r="D233" s="137"/>
      <c r="E233" s="137"/>
      <c r="F233" s="138"/>
    </row>
    <row r="234" spans="1:6">
      <c r="B234" s="136"/>
      <c r="C234" s="136"/>
      <c r="D234" s="139"/>
      <c r="E234" s="140"/>
      <c r="F234" s="141"/>
    </row>
    <row r="235" spans="1:6">
      <c r="B235" s="142" t="s">
        <v>376</v>
      </c>
      <c r="C235" s="143">
        <f>1.2*1*0.65+0.4*1.6*1.2</f>
        <v>1.55</v>
      </c>
      <c r="D235" s="146" t="s">
        <v>355</v>
      </c>
      <c r="E235" s="143">
        <v>222.45</v>
      </c>
      <c r="F235" s="145">
        <f>C235*E235</f>
        <v>344.8</v>
      </c>
    </row>
    <row r="236" spans="1:6">
      <c r="B236" s="142" t="s">
        <v>377</v>
      </c>
      <c r="C236" s="143">
        <f>C235*1.3</f>
        <v>2.02</v>
      </c>
      <c r="D236" s="146" t="s">
        <v>355</v>
      </c>
      <c r="E236" s="143">
        <v>183.48</v>
      </c>
      <c r="F236" s="145">
        <f>C236*E236</f>
        <v>370.63</v>
      </c>
    </row>
    <row r="237" spans="1:6">
      <c r="B237" s="142" t="s">
        <v>378</v>
      </c>
      <c r="C237" s="143">
        <f>C235*0.55</f>
        <v>0.85</v>
      </c>
      <c r="D237" s="146" t="s">
        <v>355</v>
      </c>
      <c r="E237" s="143">
        <v>719</v>
      </c>
      <c r="F237" s="145">
        <f>C237*E237</f>
        <v>611.15</v>
      </c>
    </row>
    <row r="238" spans="1:6" ht="17.25" customHeight="1">
      <c r="B238" s="142" t="s">
        <v>379</v>
      </c>
      <c r="C238" s="143">
        <f>1.2*1*0.25</f>
        <v>0.3</v>
      </c>
      <c r="D238" s="146" t="s">
        <v>352</v>
      </c>
      <c r="E238" s="143">
        <f>F101</f>
        <v>21459.07</v>
      </c>
      <c r="F238" s="145">
        <f t="shared" ref="F238:F242" si="25">C238*E238</f>
        <v>6437.72</v>
      </c>
    </row>
    <row r="239" spans="1:6">
      <c r="B239" s="142" t="s">
        <v>370</v>
      </c>
      <c r="C239" s="143">
        <f>1.4*1.2*0.2</f>
        <v>0.34</v>
      </c>
      <c r="D239" s="146" t="s">
        <v>355</v>
      </c>
      <c r="E239" s="143">
        <f>F147</f>
        <v>21352.62</v>
      </c>
      <c r="F239" s="145">
        <f t="shared" si="25"/>
        <v>7259.89</v>
      </c>
    </row>
    <row r="240" spans="1:6">
      <c r="B240" s="142" t="s">
        <v>380</v>
      </c>
      <c r="C240" s="143">
        <f>1.4*1.2*2</f>
        <v>3.36</v>
      </c>
      <c r="D240" s="146" t="s">
        <v>381</v>
      </c>
      <c r="E240" s="143">
        <v>321.86</v>
      </c>
      <c r="F240" s="145">
        <f t="shared" ref="F240:F241" si="26">C240*E240</f>
        <v>1081.45</v>
      </c>
    </row>
    <row r="241" spans="1:6">
      <c r="B241" s="142" t="s">
        <v>382</v>
      </c>
      <c r="C241" s="143">
        <f>1.4*4+1.2*2</f>
        <v>8</v>
      </c>
      <c r="D241" s="144" t="s">
        <v>131</v>
      </c>
      <c r="E241" s="143">
        <v>85</v>
      </c>
      <c r="F241" s="145">
        <f t="shared" si="26"/>
        <v>680</v>
      </c>
    </row>
    <row r="242" spans="1:6">
      <c r="B242" s="142" t="s">
        <v>383</v>
      </c>
      <c r="C242" s="143">
        <f>2*1.2*0.4</f>
        <v>0.96</v>
      </c>
      <c r="D242" s="144" t="s">
        <v>187</v>
      </c>
      <c r="E242" s="143">
        <v>4868.92</v>
      </c>
      <c r="F242" s="145">
        <f t="shared" si="25"/>
        <v>4674.16</v>
      </c>
    </row>
    <row r="243" spans="1:6" ht="18.75" thickBot="1">
      <c r="B243" s="142"/>
      <c r="C243" s="143"/>
      <c r="D243" s="144"/>
      <c r="E243" s="143"/>
      <c r="F243" s="145"/>
    </row>
    <row r="244" spans="1:6" ht="19.5" thickTop="1" thickBot="1">
      <c r="A244" s="106"/>
      <c r="B244" s="147" t="s">
        <v>343</v>
      </c>
      <c r="C244" s="148"/>
      <c r="D244" s="149"/>
      <c r="E244" s="148"/>
      <c r="F244" s="150">
        <f>SUM(F235:F243)</f>
        <v>21459.8</v>
      </c>
    </row>
    <row r="245" spans="1:6" ht="18.75" thickTop="1"/>
    <row r="246" spans="1:6">
      <c r="B246" s="136" t="s">
        <v>384</v>
      </c>
      <c r="C246" s="137"/>
      <c r="D246" s="137"/>
      <c r="E246" s="137"/>
      <c r="F246" s="138"/>
    </row>
    <row r="247" spans="1:6">
      <c r="B247" s="136"/>
      <c r="C247" s="136"/>
      <c r="D247" s="139"/>
      <c r="E247" s="140"/>
      <c r="F247" s="141"/>
    </row>
    <row r="248" spans="1:6">
      <c r="B248" s="105" t="s">
        <v>306</v>
      </c>
      <c r="C248" s="152">
        <f>1*1*1</f>
        <v>1</v>
      </c>
      <c r="D248" s="156" t="s">
        <v>113</v>
      </c>
      <c r="E248" s="143">
        <v>222.45</v>
      </c>
      <c r="F248" s="157">
        <f>C248*E248</f>
        <v>222.45</v>
      </c>
    </row>
    <row r="249" spans="1:6">
      <c r="B249" s="151" t="s">
        <v>307</v>
      </c>
      <c r="C249" s="152">
        <f>C248*1.3</f>
        <v>1.3</v>
      </c>
      <c r="D249" s="156" t="s">
        <v>113</v>
      </c>
      <c r="E249" s="143">
        <v>183.48</v>
      </c>
      <c r="F249" s="157">
        <f t="shared" ref="F249:F254" si="27">C249*E249</f>
        <v>238.52</v>
      </c>
    </row>
    <row r="250" spans="1:6">
      <c r="B250" s="151" t="s">
        <v>385</v>
      </c>
      <c r="C250" s="152">
        <f>0.7*0.7*0.15</f>
        <v>7.0000000000000007E-2</v>
      </c>
      <c r="D250" s="156" t="s">
        <v>113</v>
      </c>
      <c r="E250" s="152">
        <v>4800</v>
      </c>
      <c r="F250" s="157">
        <f t="shared" si="27"/>
        <v>336</v>
      </c>
    </row>
    <row r="251" spans="1:6">
      <c r="B251" s="151" t="s">
        <v>386</v>
      </c>
      <c r="C251" s="152">
        <f>2*0.7*0.7+2*1*0.7</f>
        <v>2.38</v>
      </c>
      <c r="D251" s="156" t="s">
        <v>155</v>
      </c>
      <c r="E251" s="152">
        <v>906.08</v>
      </c>
      <c r="F251" s="157">
        <f t="shared" si="27"/>
        <v>2156.4699999999998</v>
      </c>
    </row>
    <row r="252" spans="1:6">
      <c r="B252" s="151" t="s">
        <v>312</v>
      </c>
      <c r="C252" s="152">
        <f>C251</f>
        <v>2.38</v>
      </c>
      <c r="D252" s="156" t="s">
        <v>155</v>
      </c>
      <c r="E252" s="152">
        <v>267.60000000000002</v>
      </c>
      <c r="F252" s="157">
        <f t="shared" si="27"/>
        <v>636.89</v>
      </c>
    </row>
    <row r="253" spans="1:6">
      <c r="B253" s="151" t="s">
        <v>333</v>
      </c>
      <c r="C253" s="152">
        <v>7.0000000000000007E-2</v>
      </c>
      <c r="D253" s="156" t="s">
        <v>113</v>
      </c>
      <c r="E253" s="152">
        <v>8500</v>
      </c>
      <c r="F253" s="157">
        <f t="shared" si="27"/>
        <v>595</v>
      </c>
    </row>
    <row r="254" spans="1:6">
      <c r="B254" s="151" t="s">
        <v>387</v>
      </c>
      <c r="C254" s="152">
        <v>1</v>
      </c>
      <c r="D254" s="156" t="s">
        <v>121</v>
      </c>
      <c r="E254" s="152">
        <v>50</v>
      </c>
      <c r="F254" s="157">
        <f t="shared" si="27"/>
        <v>50</v>
      </c>
    </row>
    <row r="255" spans="1:6">
      <c r="B255" s="151"/>
      <c r="C255" s="151"/>
      <c r="D255" s="152"/>
      <c r="E255" s="152"/>
      <c r="F255" s="153" t="s">
        <v>388</v>
      </c>
    </row>
    <row r="256" spans="1:6">
      <c r="B256" s="151"/>
      <c r="C256" s="151"/>
      <c r="D256" s="152"/>
      <c r="E256" s="152"/>
      <c r="F256" s="158">
        <f>SUM(F248:F255)</f>
        <v>4235.33</v>
      </c>
    </row>
    <row r="257" spans="1:6" ht="18.75" thickBot="1">
      <c r="B257" s="142"/>
      <c r="C257" s="143"/>
      <c r="D257" s="144"/>
      <c r="E257" s="143"/>
      <c r="F257" s="145"/>
    </row>
    <row r="258" spans="1:6" ht="19.5" thickTop="1" thickBot="1">
      <c r="A258" s="106"/>
      <c r="B258" s="147" t="s">
        <v>343</v>
      </c>
      <c r="C258" s="148"/>
      <c r="D258" s="149"/>
      <c r="E258" s="148"/>
      <c r="F258" s="150">
        <f>SUM(F256:F257)</f>
        <v>4235.33</v>
      </c>
    </row>
    <row r="259" spans="1:6" ht="18.75" thickTop="1"/>
    <row r="260" spans="1:6">
      <c r="B260" s="136" t="s">
        <v>389</v>
      </c>
      <c r="C260" s="137"/>
      <c r="D260" s="137"/>
      <c r="E260" s="137"/>
      <c r="F260" s="138"/>
    </row>
    <row r="261" spans="1:6">
      <c r="C261" s="137"/>
      <c r="D261" s="137"/>
      <c r="E261" s="137"/>
      <c r="F261" s="138"/>
    </row>
    <row r="262" spans="1:6">
      <c r="B262" s="165" t="s">
        <v>390</v>
      </c>
      <c r="C262" s="166"/>
      <c r="D262" s="112"/>
      <c r="E262" s="111"/>
      <c r="F262" s="167"/>
    </row>
    <row r="263" spans="1:6">
      <c r="B263" s="105" t="s">
        <v>328</v>
      </c>
      <c r="C263" s="166">
        <v>1</v>
      </c>
      <c r="D263" s="112" t="s">
        <v>329</v>
      </c>
      <c r="E263" s="111">
        <v>200</v>
      </c>
      <c r="F263" s="167">
        <v>200</v>
      </c>
    </row>
    <row r="264" spans="1:6">
      <c r="B264" s="105"/>
      <c r="C264" s="166"/>
      <c r="D264" s="112"/>
      <c r="E264" s="111"/>
      <c r="F264" s="167"/>
    </row>
    <row r="265" spans="1:6">
      <c r="B265" s="168" t="s">
        <v>139</v>
      </c>
      <c r="C265" s="169"/>
      <c r="D265" s="170"/>
      <c r="E265" s="111"/>
      <c r="F265" s="171" t="s">
        <v>108</v>
      </c>
    </row>
    <row r="266" spans="1:6">
      <c r="B266" s="172" t="s">
        <v>391</v>
      </c>
      <c r="C266" s="169">
        <v>3.06</v>
      </c>
      <c r="D266" s="170" t="s">
        <v>113</v>
      </c>
      <c r="E266" s="111">
        <v>386.75</v>
      </c>
      <c r="F266" s="171">
        <v>1183.46</v>
      </c>
    </row>
    <row r="267" spans="1:6">
      <c r="B267" s="172" t="s">
        <v>318</v>
      </c>
      <c r="C267" s="169">
        <v>0.36</v>
      </c>
      <c r="D267" s="170" t="s">
        <v>113</v>
      </c>
      <c r="E267" s="111">
        <v>1226.3499999999999</v>
      </c>
      <c r="F267" s="171">
        <v>441.49</v>
      </c>
    </row>
    <row r="268" spans="1:6">
      <c r="B268" s="172" t="s">
        <v>319</v>
      </c>
      <c r="C268" s="169">
        <v>2.65</v>
      </c>
      <c r="D268" s="170" t="s">
        <v>113</v>
      </c>
      <c r="E268" s="111">
        <v>145.35</v>
      </c>
      <c r="F268" s="171">
        <v>385.19</v>
      </c>
    </row>
    <row r="269" spans="1:6">
      <c r="B269" s="172" t="s">
        <v>346</v>
      </c>
      <c r="C269" s="169">
        <v>0.49</v>
      </c>
      <c r="D269" s="170" t="s">
        <v>113</v>
      </c>
      <c r="E269" s="111">
        <v>234.98</v>
      </c>
      <c r="F269" s="171">
        <v>115.14</v>
      </c>
    </row>
    <row r="270" spans="1:6">
      <c r="C270" s="137"/>
      <c r="D270" s="137"/>
      <c r="E270" s="137"/>
      <c r="F270" s="138"/>
    </row>
    <row r="271" spans="1:6">
      <c r="B271" s="136" t="s">
        <v>392</v>
      </c>
      <c r="C271" s="137"/>
      <c r="D271" s="137"/>
      <c r="E271" s="137"/>
      <c r="F271" s="138"/>
    </row>
    <row r="272" spans="1:6">
      <c r="B272" s="61" t="s">
        <v>393</v>
      </c>
      <c r="C272" s="137">
        <v>6</v>
      </c>
      <c r="D272" s="144" t="s">
        <v>131</v>
      </c>
      <c r="E272" s="111">
        <v>221.84611398963699</v>
      </c>
      <c r="F272" s="171">
        <f t="shared" ref="F272:F278" si="28">C272*E272</f>
        <v>1331.08</v>
      </c>
    </row>
    <row r="273" spans="1:6">
      <c r="B273" s="61" t="s">
        <v>394</v>
      </c>
      <c r="C273" s="137">
        <v>1</v>
      </c>
      <c r="D273" s="144" t="s">
        <v>121</v>
      </c>
      <c r="E273" s="137">
        <v>590</v>
      </c>
      <c r="F273" s="138">
        <f t="shared" si="28"/>
        <v>590</v>
      </c>
    </row>
    <row r="274" spans="1:6">
      <c r="B274" s="61" t="s">
        <v>395</v>
      </c>
      <c r="C274" s="143">
        <v>1</v>
      </c>
      <c r="D274" s="144" t="s">
        <v>121</v>
      </c>
      <c r="E274" s="143">
        <v>56</v>
      </c>
      <c r="F274" s="145">
        <f t="shared" si="28"/>
        <v>56</v>
      </c>
    </row>
    <row r="275" spans="1:6">
      <c r="C275" s="143"/>
      <c r="D275" s="146"/>
      <c r="E275" s="143"/>
      <c r="F275" s="145"/>
    </row>
    <row r="276" spans="1:6">
      <c r="B276" s="136" t="s">
        <v>396</v>
      </c>
      <c r="C276" s="143">
        <v>1</v>
      </c>
      <c r="D276" s="146" t="s">
        <v>329</v>
      </c>
      <c r="E276" s="143">
        <v>600</v>
      </c>
      <c r="F276" s="145">
        <f t="shared" si="28"/>
        <v>600</v>
      </c>
    </row>
    <row r="277" spans="1:6">
      <c r="B277" s="136"/>
      <c r="C277" s="143"/>
      <c r="D277" s="146"/>
      <c r="E277" s="143"/>
      <c r="F277" s="145"/>
    </row>
    <row r="278" spans="1:6">
      <c r="B278" s="136" t="s">
        <v>397</v>
      </c>
      <c r="C278" s="143">
        <v>0.1</v>
      </c>
      <c r="D278" s="144" t="s">
        <v>398</v>
      </c>
      <c r="E278" s="143">
        <v>2100</v>
      </c>
      <c r="F278" s="145">
        <f t="shared" si="28"/>
        <v>210</v>
      </c>
    </row>
    <row r="279" spans="1:6">
      <c r="C279" s="143"/>
      <c r="D279" s="144"/>
      <c r="E279" s="143"/>
      <c r="F279" s="145"/>
    </row>
    <row r="280" spans="1:6" ht="18.75" thickBot="1">
      <c r="C280" s="143"/>
      <c r="D280" s="144"/>
      <c r="E280" s="143"/>
      <c r="F280" s="145"/>
    </row>
    <row r="281" spans="1:6" ht="19.5" thickTop="1" thickBot="1">
      <c r="A281" s="106"/>
      <c r="B281" s="147" t="s">
        <v>343</v>
      </c>
      <c r="C281" s="148"/>
      <c r="D281" s="149"/>
      <c r="E281" s="148"/>
      <c r="F281" s="150">
        <f>SUM(F260:F279)</f>
        <v>5112.3599999999997</v>
      </c>
    </row>
    <row r="282" spans="1:6" ht="18.75" thickTop="1"/>
    <row r="283" spans="1:6">
      <c r="B283" s="136" t="s">
        <v>399</v>
      </c>
      <c r="C283" s="137"/>
      <c r="D283" s="137"/>
      <c r="E283" s="137"/>
      <c r="F283" s="138"/>
    </row>
    <row r="284" spans="1:6">
      <c r="C284" s="137"/>
      <c r="D284" s="137"/>
      <c r="E284" s="137"/>
      <c r="F284" s="138"/>
    </row>
    <row r="285" spans="1:6">
      <c r="B285" s="136" t="s">
        <v>390</v>
      </c>
      <c r="C285" s="137"/>
      <c r="D285" s="137"/>
      <c r="E285" s="137"/>
      <c r="F285" s="138"/>
    </row>
    <row r="286" spans="1:6">
      <c r="B286" s="61" t="s">
        <v>328</v>
      </c>
      <c r="C286" s="154">
        <v>1</v>
      </c>
      <c r="D286" s="155" t="s">
        <v>329</v>
      </c>
      <c r="E286" s="140">
        <v>500</v>
      </c>
      <c r="F286" s="141">
        <f>C286*E286</f>
        <v>500</v>
      </c>
    </row>
    <row r="287" spans="1:6">
      <c r="C287" s="143"/>
      <c r="D287" s="144"/>
      <c r="E287" s="143"/>
      <c r="F287" s="145"/>
    </row>
    <row r="288" spans="1:6">
      <c r="B288" s="136" t="s">
        <v>139</v>
      </c>
      <c r="C288" s="143"/>
      <c r="D288" s="146"/>
      <c r="E288" s="143"/>
      <c r="F288" s="145"/>
    </row>
    <row r="289" spans="2:6">
      <c r="B289" s="61" t="s">
        <v>400</v>
      </c>
      <c r="C289" s="143">
        <f>20*0.6*1</f>
        <v>12</v>
      </c>
      <c r="D289" s="146" t="s">
        <v>113</v>
      </c>
      <c r="E289" s="143">
        <v>222.45</v>
      </c>
      <c r="F289" s="145">
        <f t="shared" ref="F289:F292" si="29">C289*E289</f>
        <v>2669.4</v>
      </c>
    </row>
    <row r="290" spans="2:6">
      <c r="B290" s="61" t="s">
        <v>318</v>
      </c>
      <c r="C290" s="143">
        <f>0.1*0.6*20</f>
        <v>1.2</v>
      </c>
      <c r="D290" s="146" t="s">
        <v>113</v>
      </c>
      <c r="E290" s="143">
        <v>1226.3499999999999</v>
      </c>
      <c r="F290" s="145">
        <f t="shared" si="29"/>
        <v>1471.62</v>
      </c>
    </row>
    <row r="291" spans="2:6">
      <c r="B291" s="61" t="s">
        <v>319</v>
      </c>
      <c r="C291" s="143">
        <f>C289*0.55</f>
        <v>6.6</v>
      </c>
      <c r="D291" s="144" t="s">
        <v>113</v>
      </c>
      <c r="E291" s="143">
        <v>145.35</v>
      </c>
      <c r="F291" s="145">
        <f t="shared" si="29"/>
        <v>959.31</v>
      </c>
    </row>
    <row r="292" spans="2:6">
      <c r="B292" s="61" t="s">
        <v>346</v>
      </c>
      <c r="C292" s="143">
        <f>(C289-C291)*1.3</f>
        <v>7.02</v>
      </c>
      <c r="D292" s="144" t="s">
        <v>113</v>
      </c>
      <c r="E292" s="143">
        <v>183.48</v>
      </c>
      <c r="F292" s="145">
        <f t="shared" si="29"/>
        <v>1288.03</v>
      </c>
    </row>
    <row r="293" spans="2:6">
      <c r="C293" s="137"/>
      <c r="D293" s="137"/>
      <c r="E293" s="137"/>
      <c r="F293" s="138"/>
    </row>
    <row r="294" spans="2:6">
      <c r="B294" s="136" t="s">
        <v>392</v>
      </c>
      <c r="C294" s="137"/>
      <c r="D294" s="137"/>
      <c r="E294" s="137"/>
      <c r="F294" s="138"/>
    </row>
    <row r="295" spans="2:6">
      <c r="B295" s="61" t="s">
        <v>393</v>
      </c>
      <c r="C295" s="137">
        <v>20</v>
      </c>
      <c r="D295" s="144" t="s">
        <v>131</v>
      </c>
      <c r="E295" s="137">
        <v>221.85</v>
      </c>
      <c r="F295" s="138">
        <f t="shared" ref="F295:F297" si="30">C295*E295</f>
        <v>4437</v>
      </c>
    </row>
    <row r="296" spans="2:6">
      <c r="B296" s="61" t="s">
        <v>401</v>
      </c>
      <c r="C296" s="137">
        <v>1</v>
      </c>
      <c r="D296" s="144" t="s">
        <v>121</v>
      </c>
      <c r="E296" s="137">
        <f>6075</f>
        <v>6075</v>
      </c>
      <c r="F296" s="138">
        <f t="shared" si="30"/>
        <v>6075</v>
      </c>
    </row>
    <row r="297" spans="2:6">
      <c r="B297" s="61" t="s">
        <v>395</v>
      </c>
      <c r="C297" s="143">
        <v>1</v>
      </c>
      <c r="D297" s="144" t="s">
        <v>121</v>
      </c>
      <c r="E297" s="143">
        <v>56</v>
      </c>
      <c r="F297" s="145">
        <f t="shared" si="30"/>
        <v>56</v>
      </c>
    </row>
    <row r="298" spans="2:6">
      <c r="C298" s="143"/>
      <c r="D298" s="146"/>
      <c r="E298" s="143"/>
      <c r="F298" s="145"/>
    </row>
    <row r="299" spans="2:6">
      <c r="B299" s="136" t="s">
        <v>396</v>
      </c>
      <c r="C299" s="143">
        <v>1</v>
      </c>
      <c r="D299" s="146" t="s">
        <v>329</v>
      </c>
      <c r="E299" s="143">
        <v>1000</v>
      </c>
      <c r="F299" s="145">
        <f t="shared" ref="F299" si="31">C299*E299</f>
        <v>1000</v>
      </c>
    </row>
    <row r="300" spans="2:6">
      <c r="B300" s="136"/>
      <c r="C300" s="143"/>
      <c r="D300" s="146"/>
      <c r="E300" s="143"/>
      <c r="F300" s="145"/>
    </row>
    <row r="301" spans="2:6">
      <c r="B301" s="136" t="s">
        <v>397</v>
      </c>
      <c r="C301" s="143">
        <v>0.15</v>
      </c>
      <c r="D301" s="144" t="s">
        <v>398</v>
      </c>
      <c r="E301" s="143">
        <v>2100</v>
      </c>
      <c r="F301" s="145">
        <f t="shared" ref="F301" si="32">C301*E301</f>
        <v>315</v>
      </c>
    </row>
    <row r="302" spans="2:6">
      <c r="C302" s="143"/>
      <c r="D302" s="144"/>
      <c r="E302" s="143"/>
      <c r="F302" s="145"/>
    </row>
    <row r="303" spans="2:6">
      <c r="B303" s="136" t="s">
        <v>24</v>
      </c>
      <c r="C303" s="143">
        <v>1</v>
      </c>
      <c r="D303" s="144" t="s">
        <v>121</v>
      </c>
      <c r="E303" s="143">
        <f>F258</f>
        <v>4235.33</v>
      </c>
      <c r="F303" s="145">
        <f t="shared" ref="F303" si="33">C303*E303</f>
        <v>4235.33</v>
      </c>
    </row>
    <row r="304" spans="2:6" ht="18.75" thickBot="1">
      <c r="C304" s="143"/>
      <c r="D304" s="144"/>
      <c r="E304" s="143"/>
      <c r="F304" s="145"/>
    </row>
    <row r="305" spans="1:6" ht="19.5" thickTop="1" thickBot="1">
      <c r="A305" s="106"/>
      <c r="B305" s="147" t="s">
        <v>343</v>
      </c>
      <c r="C305" s="148"/>
      <c r="D305" s="149"/>
      <c r="E305" s="148"/>
      <c r="F305" s="150">
        <f>SUM(F283:F303)</f>
        <v>23006.69</v>
      </c>
    </row>
    <row r="306" spans="1:6" ht="18.75" thickTop="1"/>
    <row r="307" spans="1:6">
      <c r="B307" s="136" t="s">
        <v>402</v>
      </c>
      <c r="C307" s="137"/>
      <c r="D307" s="137"/>
      <c r="E307" s="137"/>
      <c r="F307" s="138"/>
    </row>
    <row r="308" spans="1:6">
      <c r="C308" s="137"/>
      <c r="D308" s="137"/>
      <c r="E308" s="137"/>
      <c r="F308" s="138"/>
    </row>
    <row r="309" spans="1:6">
      <c r="B309" s="136" t="s">
        <v>390</v>
      </c>
      <c r="C309" s="137"/>
      <c r="D309" s="137"/>
      <c r="E309" s="137"/>
      <c r="F309" s="138"/>
    </row>
    <row r="310" spans="1:6">
      <c r="B310" s="61" t="s">
        <v>328</v>
      </c>
      <c r="C310" s="154">
        <v>1</v>
      </c>
      <c r="D310" s="155" t="s">
        <v>329</v>
      </c>
      <c r="E310" s="140">
        <v>500</v>
      </c>
      <c r="F310" s="141">
        <f>C310*E310</f>
        <v>500</v>
      </c>
    </row>
    <row r="311" spans="1:6">
      <c r="C311" s="143"/>
      <c r="D311" s="144"/>
      <c r="E311" s="143"/>
      <c r="F311" s="145"/>
    </row>
    <row r="312" spans="1:6">
      <c r="B312" s="136" t="s">
        <v>139</v>
      </c>
      <c r="C312" s="143"/>
      <c r="D312" s="146"/>
      <c r="E312" s="143"/>
      <c r="F312" s="145"/>
    </row>
    <row r="313" spans="1:6">
      <c r="B313" s="61" t="s">
        <v>330</v>
      </c>
      <c r="C313" s="143">
        <f>20*0.6*1</f>
        <v>12</v>
      </c>
      <c r="D313" s="146" t="s">
        <v>113</v>
      </c>
      <c r="E313" s="143">
        <v>222.45</v>
      </c>
      <c r="F313" s="145">
        <f t="shared" ref="F313:F316" si="34">C313*E313</f>
        <v>2669.4</v>
      </c>
    </row>
    <row r="314" spans="1:6">
      <c r="B314" s="61" t="s">
        <v>318</v>
      </c>
      <c r="C314" s="143">
        <f>0.1*0.6*20</f>
        <v>1.2</v>
      </c>
      <c r="D314" s="146" t="s">
        <v>113</v>
      </c>
      <c r="E314" s="143">
        <v>1226.3499999999999</v>
      </c>
      <c r="F314" s="145">
        <f t="shared" si="34"/>
        <v>1471.62</v>
      </c>
    </row>
    <row r="315" spans="1:6">
      <c r="B315" s="61" t="s">
        <v>319</v>
      </c>
      <c r="C315" s="143">
        <f>C313*0.55</f>
        <v>6.6</v>
      </c>
      <c r="D315" s="144" t="s">
        <v>113</v>
      </c>
      <c r="E315" s="143">
        <v>145.35</v>
      </c>
      <c r="F315" s="145">
        <f t="shared" si="34"/>
        <v>959.31</v>
      </c>
    </row>
    <row r="316" spans="1:6">
      <c r="B316" s="61" t="s">
        <v>346</v>
      </c>
      <c r="C316" s="143">
        <f>(C313-C315)*1.3</f>
        <v>7.02</v>
      </c>
      <c r="D316" s="144" t="s">
        <v>113</v>
      </c>
      <c r="E316" s="143">
        <v>183.48</v>
      </c>
      <c r="F316" s="145">
        <f t="shared" si="34"/>
        <v>1288.03</v>
      </c>
    </row>
    <row r="317" spans="1:6">
      <c r="C317" s="137"/>
      <c r="D317" s="137"/>
      <c r="E317" s="137"/>
      <c r="F317" s="138"/>
    </row>
    <row r="318" spans="1:6">
      <c r="B318" s="136" t="s">
        <v>392</v>
      </c>
      <c r="C318" s="137"/>
      <c r="D318" s="137"/>
      <c r="E318" s="137"/>
      <c r="F318" s="138"/>
    </row>
    <row r="319" spans="1:6">
      <c r="B319" s="61" t="s">
        <v>393</v>
      </c>
      <c r="C319" s="137">
        <v>20</v>
      </c>
      <c r="D319" s="144" t="s">
        <v>131</v>
      </c>
      <c r="E319" s="137">
        <v>221.85</v>
      </c>
      <c r="F319" s="138">
        <f t="shared" ref="F319:F321" si="35">C319*E319</f>
        <v>4437</v>
      </c>
    </row>
    <row r="320" spans="1:6">
      <c r="B320" s="61" t="s">
        <v>403</v>
      </c>
      <c r="C320" s="137">
        <v>1</v>
      </c>
      <c r="D320" s="144" t="s">
        <v>121</v>
      </c>
      <c r="E320" s="137">
        <f>15905</f>
        <v>15905</v>
      </c>
      <c r="F320" s="138">
        <f t="shared" si="35"/>
        <v>15905</v>
      </c>
    </row>
    <row r="321" spans="1:8">
      <c r="B321" s="61" t="s">
        <v>395</v>
      </c>
      <c r="C321" s="143">
        <v>1</v>
      </c>
      <c r="D321" s="144" t="s">
        <v>121</v>
      </c>
      <c r="E321" s="143">
        <v>56</v>
      </c>
      <c r="F321" s="145">
        <f t="shared" si="35"/>
        <v>56</v>
      </c>
    </row>
    <row r="322" spans="1:8">
      <c r="C322" s="143"/>
      <c r="D322" s="146"/>
      <c r="E322" s="143"/>
      <c r="F322" s="145"/>
    </row>
    <row r="323" spans="1:8">
      <c r="B323" s="136" t="s">
        <v>396</v>
      </c>
      <c r="C323" s="143">
        <v>1</v>
      </c>
      <c r="D323" s="146" t="s">
        <v>329</v>
      </c>
      <c r="E323" s="143">
        <v>1000</v>
      </c>
      <c r="F323" s="145">
        <f t="shared" ref="F323" si="36">C323*E323</f>
        <v>1000</v>
      </c>
    </row>
    <row r="324" spans="1:8">
      <c r="B324" s="136"/>
      <c r="C324" s="143"/>
      <c r="D324" s="146"/>
      <c r="E324" s="143"/>
      <c r="F324" s="145"/>
    </row>
    <row r="325" spans="1:8">
      <c r="B325" s="136" t="s">
        <v>397</v>
      </c>
      <c r="C325" s="143">
        <v>0.15</v>
      </c>
      <c r="D325" s="144" t="s">
        <v>398</v>
      </c>
      <c r="E325" s="143">
        <v>2100</v>
      </c>
      <c r="F325" s="145">
        <f t="shared" ref="F325" si="37">C325*E325</f>
        <v>315</v>
      </c>
    </row>
    <row r="326" spans="1:8">
      <c r="C326" s="143"/>
      <c r="D326" s="144"/>
      <c r="E326" s="143"/>
      <c r="F326" s="145"/>
    </row>
    <row r="327" spans="1:8">
      <c r="B327" s="136" t="s">
        <v>24</v>
      </c>
      <c r="C327" s="143">
        <v>1</v>
      </c>
      <c r="D327" s="144" t="s">
        <v>121</v>
      </c>
      <c r="E327" s="143">
        <f>F258</f>
        <v>4235.33</v>
      </c>
      <c r="F327" s="145">
        <f t="shared" ref="F327" si="38">C327*E327</f>
        <v>4235.33</v>
      </c>
    </row>
    <row r="328" spans="1:8" ht="18.75" thickBot="1">
      <c r="C328" s="143"/>
      <c r="D328" s="144"/>
      <c r="E328" s="143"/>
      <c r="F328" s="145"/>
    </row>
    <row r="329" spans="1:8" ht="19.5" thickTop="1" thickBot="1">
      <c r="A329" s="106"/>
      <c r="B329" s="147" t="s">
        <v>343</v>
      </c>
      <c r="C329" s="148"/>
      <c r="D329" s="149"/>
      <c r="E329" s="148"/>
      <c r="F329" s="150">
        <f>SUM(F307:F327)</f>
        <v>32836.69</v>
      </c>
    </row>
    <row r="330" spans="1:8" ht="18.75" thickTop="1"/>
    <row r="331" spans="1:8">
      <c r="B331" s="136" t="s">
        <v>402</v>
      </c>
      <c r="C331" s="137"/>
      <c r="D331" s="137"/>
      <c r="E331" s="137"/>
      <c r="F331" s="138"/>
    </row>
    <row r="332" spans="1:8">
      <c r="C332" s="137"/>
      <c r="D332" s="137"/>
      <c r="E332" s="137"/>
      <c r="F332" s="138"/>
    </row>
    <row r="333" spans="1:8">
      <c r="B333" s="136" t="s">
        <v>390</v>
      </c>
      <c r="C333" s="137"/>
      <c r="D333" s="137"/>
      <c r="E333" s="137"/>
      <c r="F333" s="138"/>
      <c r="H333" s="317">
        <v>0.6</v>
      </c>
    </row>
    <row r="334" spans="1:8">
      <c r="B334" s="61" t="s">
        <v>328</v>
      </c>
      <c r="C334" s="154">
        <v>1</v>
      </c>
      <c r="D334" s="155" t="s">
        <v>329</v>
      </c>
      <c r="E334" s="140">
        <v>500</v>
      </c>
      <c r="F334" s="141">
        <f>C334*E334</f>
        <v>500</v>
      </c>
    </row>
    <row r="335" spans="1:8">
      <c r="C335" s="143"/>
      <c r="D335" s="144"/>
      <c r="E335" s="143"/>
      <c r="F335" s="145"/>
    </row>
    <row r="336" spans="1:8">
      <c r="B336" s="136" t="s">
        <v>139</v>
      </c>
      <c r="C336" s="143"/>
      <c r="D336" s="146"/>
      <c r="E336" s="143"/>
      <c r="F336" s="145"/>
    </row>
    <row r="337" spans="2:9">
      <c r="B337" s="61" t="s">
        <v>400</v>
      </c>
      <c r="C337" s="143">
        <f>20*0.6*1</f>
        <v>12</v>
      </c>
      <c r="D337" s="146" t="s">
        <v>113</v>
      </c>
      <c r="E337" s="143">
        <v>222.45</v>
      </c>
      <c r="F337" s="145">
        <f t="shared" ref="F337:F340" si="39">C337*E337</f>
        <v>2669.4</v>
      </c>
    </row>
    <row r="338" spans="2:9">
      <c r="B338" s="61" t="s">
        <v>318</v>
      </c>
      <c r="C338" s="143">
        <f>0.1*0.6*20</f>
        <v>1.2</v>
      </c>
      <c r="D338" s="146" t="s">
        <v>113</v>
      </c>
      <c r="E338" s="143">
        <v>1226.3499999999999</v>
      </c>
      <c r="F338" s="145">
        <f t="shared" si="39"/>
        <v>1471.62</v>
      </c>
    </row>
    <row r="339" spans="2:9">
      <c r="B339" s="61" t="s">
        <v>319</v>
      </c>
      <c r="C339" s="143">
        <f>C337*0.55</f>
        <v>6.6</v>
      </c>
      <c r="D339" s="144" t="s">
        <v>113</v>
      </c>
      <c r="E339" s="143">
        <v>145.35</v>
      </c>
      <c r="F339" s="145">
        <f t="shared" si="39"/>
        <v>959.31</v>
      </c>
    </row>
    <row r="340" spans="2:9">
      <c r="B340" s="61" t="s">
        <v>346</v>
      </c>
      <c r="C340" s="143">
        <f>(C337-C339)*1.3</f>
        <v>7.02</v>
      </c>
      <c r="D340" s="144" t="s">
        <v>113</v>
      </c>
      <c r="E340" s="143">
        <v>183.48</v>
      </c>
      <c r="F340" s="145">
        <f t="shared" si="39"/>
        <v>1288.03</v>
      </c>
    </row>
    <row r="341" spans="2:9">
      <c r="C341" s="137"/>
      <c r="D341" s="137"/>
      <c r="E341" s="137"/>
      <c r="F341" s="138"/>
    </row>
    <row r="342" spans="2:9">
      <c r="B342" s="136" t="s">
        <v>392</v>
      </c>
      <c r="C342" s="137"/>
      <c r="D342" s="137"/>
      <c r="E342" s="137"/>
      <c r="F342" s="138"/>
    </row>
    <row r="343" spans="2:9">
      <c r="B343" s="61" t="s">
        <v>393</v>
      </c>
      <c r="C343" s="137">
        <v>20</v>
      </c>
      <c r="D343" s="144" t="s">
        <v>131</v>
      </c>
      <c r="E343" s="137">
        <v>221.85</v>
      </c>
      <c r="F343" s="138">
        <f t="shared" ref="F343:F345" si="40">C343*E343</f>
        <v>4437</v>
      </c>
    </row>
    <row r="344" spans="2:9">
      <c r="B344" s="61" t="s">
        <v>404</v>
      </c>
      <c r="C344" s="137">
        <v>1</v>
      </c>
      <c r="D344" s="144" t="s">
        <v>121</v>
      </c>
      <c r="E344" s="137">
        <v>17440</v>
      </c>
      <c r="F344" s="138">
        <f t="shared" si="40"/>
        <v>17440</v>
      </c>
    </row>
    <row r="345" spans="2:9">
      <c r="B345" s="61" t="s">
        <v>395</v>
      </c>
      <c r="C345" s="143">
        <v>1</v>
      </c>
      <c r="D345" s="144" t="s">
        <v>121</v>
      </c>
      <c r="E345" s="143">
        <v>56</v>
      </c>
      <c r="F345" s="145">
        <f t="shared" si="40"/>
        <v>56</v>
      </c>
    </row>
    <row r="346" spans="2:9">
      <c r="C346" s="143"/>
      <c r="D346" s="146"/>
      <c r="E346" s="143"/>
      <c r="F346" s="145"/>
    </row>
    <row r="347" spans="2:9">
      <c r="B347" s="136" t="s">
        <v>396</v>
      </c>
      <c r="C347" s="143">
        <v>1</v>
      </c>
      <c r="D347" s="146" t="s">
        <v>329</v>
      </c>
      <c r="E347" s="143">
        <v>1000</v>
      </c>
      <c r="F347" s="145">
        <f t="shared" ref="F347" si="41">C347*E347</f>
        <v>1000</v>
      </c>
    </row>
    <row r="348" spans="2:9">
      <c r="B348" s="136"/>
      <c r="C348" s="143"/>
      <c r="D348" s="146"/>
      <c r="E348" s="143"/>
      <c r="F348" s="145"/>
    </row>
    <row r="349" spans="2:9">
      <c r="B349" s="136" t="s">
        <v>397</v>
      </c>
      <c r="C349" s="143">
        <v>0.15</v>
      </c>
      <c r="D349" s="144" t="s">
        <v>398</v>
      </c>
      <c r="E349" s="143">
        <v>2100</v>
      </c>
      <c r="F349" s="145">
        <f t="shared" ref="F349" si="42">C349*E349</f>
        <v>315</v>
      </c>
    </row>
    <row r="350" spans="2:9">
      <c r="C350" s="143"/>
      <c r="D350" s="144"/>
      <c r="E350" s="143"/>
      <c r="F350" s="145"/>
    </row>
    <row r="351" spans="2:9">
      <c r="B351" s="136" t="s">
        <v>24</v>
      </c>
      <c r="C351" s="143">
        <v>1</v>
      </c>
      <c r="D351" s="144" t="s">
        <v>121</v>
      </c>
      <c r="E351" s="143">
        <f>F258</f>
        <v>4235.33</v>
      </c>
      <c r="F351" s="145">
        <f t="shared" ref="F351" si="43">C351*E351</f>
        <v>4235.33</v>
      </c>
      <c r="I351" s="56">
        <v>0.6</v>
      </c>
    </row>
    <row r="352" spans="2:9" ht="18.75" thickBot="1">
      <c r="C352" s="143"/>
      <c r="D352" s="144"/>
      <c r="E352" s="143"/>
      <c r="F352" s="145"/>
      <c r="I352" s="56">
        <f>+I351*0.6</f>
        <v>0.36</v>
      </c>
    </row>
    <row r="353" spans="1:9" ht="19.5" thickTop="1" thickBot="1">
      <c r="A353" s="106"/>
      <c r="B353" s="147" t="s">
        <v>343</v>
      </c>
      <c r="C353" s="148"/>
      <c r="D353" s="149"/>
      <c r="E353" s="148"/>
      <c r="F353" s="150">
        <f>SUM(F331:F351)</f>
        <v>34371.69</v>
      </c>
    </row>
    <row r="354" spans="1:9" ht="18.75" thickTop="1"/>
    <row r="355" spans="1:9">
      <c r="B355" s="162" t="s">
        <v>405</v>
      </c>
    </row>
    <row r="357" spans="1:9">
      <c r="B357" s="162" t="s">
        <v>406</v>
      </c>
    </row>
    <row r="358" spans="1:9">
      <c r="B358" s="61" t="s">
        <v>407</v>
      </c>
      <c r="C358" s="143">
        <f>2222.92*0.6</f>
        <v>1333.75</v>
      </c>
      <c r="D358" s="146" t="s">
        <v>355</v>
      </c>
      <c r="E358" s="143">
        <v>222.45</v>
      </c>
      <c r="F358" s="145">
        <f>C358*E358</f>
        <v>296692.69</v>
      </c>
      <c r="I358" s="56">
        <v>0.8</v>
      </c>
    </row>
    <row r="359" spans="1:9">
      <c r="B359" s="61" t="s">
        <v>408</v>
      </c>
      <c r="C359" s="143">
        <f>C358</f>
        <v>1333.75</v>
      </c>
      <c r="D359" s="146" t="s">
        <v>409</v>
      </c>
      <c r="E359" s="143">
        <v>43.5</v>
      </c>
      <c r="F359" s="145">
        <f t="shared" ref="F359:F363" si="44">C359*E359</f>
        <v>58018.13</v>
      </c>
    </row>
    <row r="360" spans="1:9">
      <c r="B360" s="61" t="s">
        <v>410</v>
      </c>
      <c r="C360" s="143">
        <f>C358*1.2</f>
        <v>1600.5</v>
      </c>
      <c r="D360" s="144" t="s">
        <v>411</v>
      </c>
      <c r="E360" s="143">
        <v>1380.85</v>
      </c>
      <c r="F360" s="145">
        <f t="shared" si="44"/>
        <v>2210050.4300000002</v>
      </c>
      <c r="I360" s="56">
        <f>+I358*0.8</f>
        <v>0.64</v>
      </c>
    </row>
    <row r="361" spans="1:9">
      <c r="B361" s="61" t="s">
        <v>412</v>
      </c>
      <c r="C361" s="143">
        <v>2222.92</v>
      </c>
      <c r="D361" s="144" t="s">
        <v>381</v>
      </c>
      <c r="E361" s="143">
        <v>3.78</v>
      </c>
      <c r="F361" s="145">
        <f t="shared" si="44"/>
        <v>8402.64</v>
      </c>
    </row>
    <row r="362" spans="1:9">
      <c r="B362" s="163" t="s">
        <v>413</v>
      </c>
      <c r="C362" s="143">
        <f>C360</f>
        <v>1600.5</v>
      </c>
      <c r="D362" s="144" t="s">
        <v>411</v>
      </c>
      <c r="E362" s="137">
        <v>63.59</v>
      </c>
      <c r="F362" s="138">
        <f t="shared" si="44"/>
        <v>101775.795</v>
      </c>
    </row>
    <row r="363" spans="1:9" ht="36">
      <c r="B363" s="163" t="s">
        <v>414</v>
      </c>
      <c r="C363" s="137">
        <f>C358*1.3</f>
        <v>1733.875</v>
      </c>
      <c r="D363" s="137" t="s">
        <v>409</v>
      </c>
      <c r="E363" s="137">
        <v>183.48</v>
      </c>
      <c r="F363" s="138">
        <f t="shared" si="44"/>
        <v>318131.38500000001</v>
      </c>
    </row>
    <row r="364" spans="1:9">
      <c r="B364" s="163"/>
      <c r="C364" s="137"/>
      <c r="D364" s="137"/>
      <c r="E364" s="137"/>
      <c r="F364" s="138"/>
    </row>
    <row r="365" spans="1:9">
      <c r="C365" s="137"/>
      <c r="D365" s="144"/>
      <c r="E365" s="154" t="s">
        <v>415</v>
      </c>
      <c r="F365" s="141">
        <f>SUM(F358:F363)/2222.92</f>
        <v>1346.46</v>
      </c>
    </row>
    <row r="366" spans="1:9">
      <c r="C366" s="137"/>
      <c r="D366" s="144"/>
      <c r="E366" s="154"/>
      <c r="F366" s="145"/>
    </row>
    <row r="367" spans="1:9">
      <c r="B367" s="162" t="s">
        <v>416</v>
      </c>
      <c r="C367" s="137"/>
      <c r="D367" s="144"/>
      <c r="E367" s="137"/>
      <c r="F367" s="164">
        <v>786.29</v>
      </c>
    </row>
    <row r="368" spans="1:9" ht="18.75" thickBot="1">
      <c r="C368" s="143"/>
      <c r="D368" s="144"/>
      <c r="E368" s="143"/>
      <c r="F368" s="145"/>
    </row>
    <row r="369" spans="1:8" ht="19.5" thickTop="1" thickBot="1">
      <c r="A369" s="106"/>
      <c r="B369" s="147" t="s">
        <v>417</v>
      </c>
      <c r="C369" s="148"/>
      <c r="D369" s="149"/>
      <c r="E369" s="148"/>
      <c r="F369" s="150">
        <f>F367+F365</f>
        <v>2132.75</v>
      </c>
    </row>
    <row r="370" spans="1:8" ht="18.75" thickTop="1">
      <c r="A370" s="243"/>
      <c r="B370" s="244"/>
      <c r="C370" s="245"/>
      <c r="D370" s="246"/>
      <c r="E370" s="245"/>
      <c r="F370" s="247"/>
    </row>
    <row r="371" spans="1:8">
      <c r="A371" s="581"/>
      <c r="B371" s="248" t="s">
        <v>418</v>
      </c>
      <c r="C371" s="143"/>
      <c r="D371" s="146"/>
      <c r="E371" s="143"/>
      <c r="F371" s="145"/>
    </row>
    <row r="372" spans="1:8">
      <c r="A372" s="581"/>
      <c r="B372" s="249"/>
      <c r="C372" s="143"/>
      <c r="D372" s="146"/>
      <c r="E372" s="143"/>
      <c r="F372" s="145"/>
    </row>
    <row r="373" spans="1:8">
      <c r="A373" s="582"/>
      <c r="B373" s="242"/>
      <c r="C373" s="250"/>
      <c r="D373" s="251"/>
      <c r="E373" s="252"/>
      <c r="F373" s="253"/>
    </row>
    <row r="374" spans="1:8">
      <c r="A374" s="583">
        <v>1</v>
      </c>
      <c r="B374" s="254" t="s">
        <v>419</v>
      </c>
      <c r="C374" s="250"/>
      <c r="D374" s="251"/>
      <c r="E374" s="252"/>
      <c r="F374" s="255"/>
    </row>
    <row r="375" spans="1:8" ht="54">
      <c r="A375" s="584">
        <f>+A374+0.1</f>
        <v>1.1000000000000001</v>
      </c>
      <c r="B375" s="256" t="s">
        <v>420</v>
      </c>
      <c r="C375" s="250">
        <v>1</v>
      </c>
      <c r="D375" s="251" t="s">
        <v>421</v>
      </c>
      <c r="E375" s="252">
        <f>6766.67/30</f>
        <v>225.56</v>
      </c>
      <c r="F375" s="253">
        <f>ROUND(C375*E375,2)</f>
        <v>225.56</v>
      </c>
    </row>
    <row r="376" spans="1:8">
      <c r="A376" s="584"/>
      <c r="B376" s="256"/>
      <c r="C376" s="250"/>
      <c r="D376" s="251"/>
      <c r="E376" s="252"/>
      <c r="F376" s="253"/>
    </row>
    <row r="377" spans="1:8">
      <c r="A377" s="583">
        <v>2</v>
      </c>
      <c r="B377" s="254" t="s">
        <v>422</v>
      </c>
      <c r="C377" s="250">
        <v>1</v>
      </c>
      <c r="D377" s="251" t="s">
        <v>129</v>
      </c>
      <c r="E377" s="252">
        <v>1500</v>
      </c>
      <c r="F377" s="253">
        <f>ROUND(C377*E377,2)</f>
        <v>1500</v>
      </c>
    </row>
    <row r="378" spans="1:8">
      <c r="A378" s="584"/>
      <c r="B378" s="256"/>
      <c r="C378" s="250"/>
      <c r="D378" s="251"/>
      <c r="E378" s="252"/>
      <c r="F378" s="253"/>
      <c r="H378" s="56">
        <f>4.26-0.4</f>
        <v>3.86</v>
      </c>
    </row>
    <row r="379" spans="1:8">
      <c r="A379" s="583">
        <v>3</v>
      </c>
      <c r="B379" s="254" t="s">
        <v>423</v>
      </c>
      <c r="C379" s="250">
        <v>1</v>
      </c>
      <c r="D379" s="251" t="s">
        <v>129</v>
      </c>
      <c r="E379" s="252">
        <v>10000</v>
      </c>
      <c r="F379" s="253">
        <f>ROUND(C379*E379,2)</f>
        <v>10000</v>
      </c>
    </row>
    <row r="380" spans="1:8">
      <c r="A380" s="584"/>
      <c r="B380" s="256"/>
      <c r="C380" s="250"/>
      <c r="D380" s="251"/>
      <c r="E380" s="252"/>
      <c r="F380" s="253"/>
    </row>
    <row r="381" spans="1:8">
      <c r="A381" s="583">
        <v>3</v>
      </c>
      <c r="B381" s="254" t="s">
        <v>424</v>
      </c>
      <c r="C381" s="250">
        <v>1</v>
      </c>
      <c r="D381" s="251" t="s">
        <v>129</v>
      </c>
      <c r="E381" s="252">
        <v>2000</v>
      </c>
      <c r="F381" s="253">
        <f>ROUND(C381*E381,2)</f>
        <v>2000</v>
      </c>
    </row>
    <row r="382" spans="1:8">
      <c r="A382" s="583"/>
      <c r="B382" s="254"/>
      <c r="C382" s="250"/>
      <c r="D382" s="251"/>
      <c r="E382" s="252"/>
      <c r="F382" s="253"/>
    </row>
    <row r="383" spans="1:8">
      <c r="A383" s="583"/>
      <c r="B383" s="254" t="s">
        <v>425</v>
      </c>
      <c r="C383" s="250"/>
      <c r="D383" s="251"/>
      <c r="E383" s="252"/>
      <c r="F383" s="255">
        <f>SUM(F375:F381)</f>
        <v>13725.56</v>
      </c>
    </row>
    <row r="384" spans="1:8">
      <c r="A384" s="583"/>
      <c r="B384" s="254"/>
      <c r="C384" s="250"/>
      <c r="D384" s="251"/>
      <c r="E384" s="252"/>
      <c r="F384" s="255"/>
    </row>
    <row r="385" spans="1:6">
      <c r="A385" s="583"/>
      <c r="B385" s="254" t="s">
        <v>426</v>
      </c>
      <c r="C385" s="250">
        <v>200</v>
      </c>
      <c r="D385" s="251" t="s">
        <v>303</v>
      </c>
      <c r="E385" s="252"/>
      <c r="F385" s="255">
        <f>+F383/C385</f>
        <v>68.63</v>
      </c>
    </row>
    <row r="386" spans="1:6">
      <c r="A386" s="583"/>
      <c r="B386" s="254"/>
      <c r="C386" s="250"/>
      <c r="D386" s="251"/>
      <c r="E386" s="252"/>
      <c r="F386" s="253"/>
    </row>
    <row r="387" spans="1:6">
      <c r="A387" s="582"/>
      <c r="B387" s="257"/>
      <c r="C387" s="250"/>
      <c r="D387" s="251"/>
      <c r="E387" s="252"/>
      <c r="F387" s="253"/>
    </row>
    <row r="388" spans="1:6" ht="18.75" thickBot="1">
      <c r="A388" s="585"/>
      <c r="B388" s="586" t="s">
        <v>427</v>
      </c>
      <c r="C388" s="587"/>
      <c r="D388" s="588"/>
      <c r="E388" s="589"/>
      <c r="F388" s="590">
        <f>+F385</f>
        <v>68.63</v>
      </c>
    </row>
    <row r="389" spans="1:6" ht="18.75" thickTop="1">
      <c r="A389" s="579"/>
      <c r="B389" s="115"/>
      <c r="C389" s="99"/>
      <c r="D389" s="116"/>
      <c r="E389" s="99"/>
      <c r="F389" s="100"/>
    </row>
    <row r="390" spans="1:6">
      <c r="B390" s="136" t="s">
        <v>428</v>
      </c>
      <c r="C390" s="137"/>
      <c r="D390" s="137"/>
      <c r="E390" s="137"/>
      <c r="F390" s="138"/>
    </row>
    <row r="391" spans="1:6">
      <c r="B391" s="136"/>
      <c r="C391" s="136"/>
      <c r="D391" s="139"/>
      <c r="E391" s="140"/>
      <c r="F391" s="141"/>
    </row>
    <row r="392" spans="1:6">
      <c r="B392" s="142" t="s">
        <v>328</v>
      </c>
      <c r="C392" s="143">
        <v>1</v>
      </c>
      <c r="D392" s="144" t="s">
        <v>329</v>
      </c>
      <c r="E392" s="143">
        <v>300</v>
      </c>
      <c r="F392" s="145">
        <f t="shared" ref="F392:F402" si="45">+E392*C392</f>
        <v>300</v>
      </c>
    </row>
    <row r="393" spans="1:6">
      <c r="B393" s="142" t="s">
        <v>330</v>
      </c>
      <c r="C393" s="143">
        <f>4.46*1.3*1.3</f>
        <v>7.54</v>
      </c>
      <c r="D393" s="146" t="s">
        <v>331</v>
      </c>
      <c r="E393" s="143">
        <v>650</v>
      </c>
      <c r="F393" s="145">
        <f t="shared" si="45"/>
        <v>4901</v>
      </c>
    </row>
    <row r="394" spans="1:6">
      <c r="B394" s="142" t="s">
        <v>307</v>
      </c>
      <c r="C394" s="143">
        <f>(C393-2)*1.3</f>
        <v>7.2</v>
      </c>
      <c r="D394" s="146" t="s">
        <v>331</v>
      </c>
      <c r="E394" s="143">
        <f>+'PRESUPUESTO '!E29</f>
        <v>371.36</v>
      </c>
      <c r="F394" s="145">
        <f t="shared" si="45"/>
        <v>2673.79</v>
      </c>
    </row>
    <row r="395" spans="1:6">
      <c r="B395" s="142" t="s">
        <v>319</v>
      </c>
      <c r="C395" s="143">
        <f>+(C393)-(4.06*0.9*1.3)</f>
        <v>2.79</v>
      </c>
      <c r="D395" s="146" t="s">
        <v>331</v>
      </c>
      <c r="E395" s="143">
        <f>+'PRESUPUESTO '!E28</f>
        <v>190.27</v>
      </c>
      <c r="F395" s="145">
        <f t="shared" si="45"/>
        <v>530.85</v>
      </c>
    </row>
    <row r="396" spans="1:6">
      <c r="B396" s="142" t="s">
        <v>332</v>
      </c>
      <c r="C396" s="143">
        <f>+(4.06*0.9*0.2)</f>
        <v>0.73</v>
      </c>
      <c r="D396" s="144" t="s">
        <v>331</v>
      </c>
      <c r="E396" s="143">
        <v>12326.35</v>
      </c>
      <c r="F396" s="145">
        <f t="shared" si="45"/>
        <v>8998.24</v>
      </c>
    </row>
    <row r="397" spans="1:6">
      <c r="B397" s="142" t="s">
        <v>429</v>
      </c>
      <c r="C397" s="143">
        <f>+(4.06+4.06+0.5+0.5)*0.9</f>
        <v>8.2100000000000009</v>
      </c>
      <c r="D397" s="144" t="s">
        <v>335</v>
      </c>
      <c r="E397" s="143">
        <v>1637.54</v>
      </c>
      <c r="F397" s="145">
        <f t="shared" si="45"/>
        <v>13444.2</v>
      </c>
    </row>
    <row r="398" spans="1:6">
      <c r="B398" s="142" t="s">
        <v>337</v>
      </c>
      <c r="C398" s="143">
        <f>+C397</f>
        <v>8.2100000000000009</v>
      </c>
      <c r="D398" s="144" t="s">
        <v>335</v>
      </c>
      <c r="E398" s="143">
        <v>321.36</v>
      </c>
      <c r="F398" s="145">
        <f t="shared" si="45"/>
        <v>2638.37</v>
      </c>
    </row>
    <row r="399" spans="1:6">
      <c r="B399" s="142" t="s">
        <v>430</v>
      </c>
      <c r="C399" s="143">
        <f>+(4.06+4.06+0.5+0.5)</f>
        <v>9.1199999999999992</v>
      </c>
      <c r="D399" s="144" t="s">
        <v>131</v>
      </c>
      <c r="E399" s="143">
        <v>78.56</v>
      </c>
      <c r="F399" s="145">
        <f t="shared" ref="F399" si="46">+E399*C399</f>
        <v>716.47</v>
      </c>
    </row>
    <row r="400" spans="1:6">
      <c r="B400" s="142" t="s">
        <v>338</v>
      </c>
      <c r="C400" s="143">
        <f>3.66*0.5</f>
        <v>1.83</v>
      </c>
      <c r="D400" s="144" t="s">
        <v>335</v>
      </c>
      <c r="E400" s="143">
        <v>389.62</v>
      </c>
      <c r="F400" s="145">
        <f t="shared" si="45"/>
        <v>713</v>
      </c>
    </row>
    <row r="401" spans="1:8">
      <c r="B401" s="142" t="s">
        <v>341</v>
      </c>
      <c r="C401" s="143">
        <v>3</v>
      </c>
      <c r="D401" s="144" t="s">
        <v>121</v>
      </c>
      <c r="E401" s="143">
        <v>8500</v>
      </c>
      <c r="F401" s="145">
        <f t="shared" si="45"/>
        <v>25500</v>
      </c>
    </row>
    <row r="402" spans="1:8">
      <c r="B402" s="142" t="s">
        <v>342</v>
      </c>
      <c r="C402" s="143">
        <v>1</v>
      </c>
      <c r="D402" s="144" t="s">
        <v>329</v>
      </c>
      <c r="E402" s="143">
        <v>400</v>
      </c>
      <c r="F402" s="145">
        <f t="shared" si="45"/>
        <v>400</v>
      </c>
      <c r="H402" s="56">
        <f>4.37-0.4</f>
        <v>3.97</v>
      </c>
    </row>
    <row r="403" spans="1:8" ht="18.75" thickBot="1">
      <c r="B403" s="142"/>
      <c r="C403" s="143"/>
      <c r="D403" s="144"/>
      <c r="E403" s="143"/>
      <c r="F403" s="145"/>
    </row>
    <row r="404" spans="1:8" ht="19.5" thickTop="1" thickBot="1">
      <c r="A404" s="106"/>
      <c r="B404" s="147" t="s">
        <v>343</v>
      </c>
      <c r="C404" s="148"/>
      <c r="D404" s="149"/>
      <c r="E404" s="148"/>
      <c r="F404" s="150">
        <f>SUM(F392:F402)</f>
        <v>60815.92</v>
      </c>
    </row>
    <row r="405" spans="1:8" ht="18.75" thickTop="1">
      <c r="A405" s="299"/>
      <c r="B405" s="300"/>
      <c r="C405" s="301"/>
      <c r="D405" s="301"/>
      <c r="E405" s="301"/>
      <c r="F405" s="591"/>
    </row>
    <row r="406" spans="1:8" ht="36">
      <c r="A406" s="299"/>
      <c r="B406" s="300" t="s">
        <v>431</v>
      </c>
      <c r="C406" s="301"/>
      <c r="D406" s="301"/>
      <c r="E406" s="301"/>
      <c r="F406" s="591"/>
    </row>
    <row r="407" spans="1:8">
      <c r="A407" s="299"/>
      <c r="B407" s="301"/>
      <c r="C407" s="301"/>
      <c r="D407" s="301"/>
      <c r="E407" s="301"/>
      <c r="F407" s="591"/>
    </row>
    <row r="408" spans="1:8">
      <c r="A408" s="302"/>
      <c r="B408" s="301" t="s">
        <v>328</v>
      </c>
      <c r="C408" s="303">
        <v>1</v>
      </c>
      <c r="D408" s="304" t="s">
        <v>359</v>
      </c>
      <c r="E408" s="303">
        <v>1000</v>
      </c>
      <c r="F408" s="592">
        <f>+C408*E408</f>
        <v>1000</v>
      </c>
    </row>
    <row r="409" spans="1:8">
      <c r="A409" s="302"/>
      <c r="B409" s="301"/>
      <c r="C409" s="303"/>
      <c r="D409" s="304"/>
      <c r="E409" s="303"/>
      <c r="F409" s="592"/>
    </row>
    <row r="410" spans="1:8">
      <c r="A410" s="302"/>
      <c r="B410" s="301" t="s">
        <v>432</v>
      </c>
      <c r="C410" s="303"/>
      <c r="D410" s="304"/>
      <c r="E410" s="303"/>
      <c r="F410" s="592"/>
    </row>
    <row r="411" spans="1:8">
      <c r="A411" s="305"/>
      <c r="B411" s="316" t="s">
        <v>433</v>
      </c>
      <c r="C411" s="306">
        <f>3*3*2.31</f>
        <v>20.79</v>
      </c>
      <c r="D411" s="307" t="s">
        <v>355</v>
      </c>
      <c r="E411" s="306">
        <f>+'PRESUPUESTO '!E24</f>
        <v>262.5</v>
      </c>
      <c r="F411" s="593">
        <f>+C411*E411</f>
        <v>5457.38</v>
      </c>
      <c r="G411" s="61">
        <v>0.48</v>
      </c>
    </row>
    <row r="412" spans="1:8">
      <c r="A412" s="305"/>
      <c r="B412" s="308" t="s">
        <v>434</v>
      </c>
      <c r="C412" s="306">
        <f>+C411-(2.6*2.5*2.31)</f>
        <v>5.78</v>
      </c>
      <c r="D412" s="307" t="s">
        <v>355</v>
      </c>
      <c r="E412" s="306">
        <f>+'PRESUPUESTO '!E28</f>
        <v>190.27</v>
      </c>
      <c r="F412" s="593">
        <f>+C412*E412</f>
        <v>1099.76</v>
      </c>
    </row>
    <row r="413" spans="1:8">
      <c r="A413" s="305"/>
      <c r="B413" s="308" t="s">
        <v>435</v>
      </c>
      <c r="C413" s="306">
        <f>+(C411-C412)*1.3</f>
        <v>19.510000000000002</v>
      </c>
      <c r="D413" s="307" t="s">
        <v>355</v>
      </c>
      <c r="E413" s="306">
        <f>+'PRESUPUESTO '!E29</f>
        <v>371.36</v>
      </c>
      <c r="F413" s="593">
        <f>+C413*E413</f>
        <v>7245.23</v>
      </c>
    </row>
    <row r="414" spans="1:8">
      <c r="A414" s="305"/>
      <c r="B414" s="308"/>
      <c r="C414" s="306" t="s">
        <v>108</v>
      </c>
      <c r="D414" s="307"/>
      <c r="E414" s="306"/>
      <c r="F414" s="593"/>
    </row>
    <row r="415" spans="1:8">
      <c r="A415" s="302"/>
      <c r="B415" s="301" t="s">
        <v>174</v>
      </c>
      <c r="C415" s="306"/>
      <c r="D415" s="307"/>
      <c r="E415" s="306"/>
      <c r="F415" s="593"/>
      <c r="G415" s="61">
        <f>2.31-0.4</f>
        <v>1.91</v>
      </c>
    </row>
    <row r="416" spans="1:8">
      <c r="A416" s="305"/>
      <c r="B416" s="308" t="s">
        <v>436</v>
      </c>
      <c r="C416" s="306">
        <f>2.6*2.5*0.25</f>
        <v>1.63</v>
      </c>
      <c r="D416" s="307" t="s">
        <v>355</v>
      </c>
      <c r="E416" s="309">
        <f>+F101</f>
        <v>21459.07</v>
      </c>
      <c r="F416" s="593">
        <f>+C416*E416</f>
        <v>34978.28</v>
      </c>
    </row>
    <row r="417" spans="1:7">
      <c r="A417" s="305"/>
      <c r="B417" s="308" t="s">
        <v>437</v>
      </c>
      <c r="C417" s="306">
        <f>+((2.6*1.91*0.25)*2+(2*1.91*0.25)*2)-((3.14*0.48)*0.25)*2</f>
        <v>3.64</v>
      </c>
      <c r="D417" s="307" t="s">
        <v>355</v>
      </c>
      <c r="E417" s="309">
        <f>+F147</f>
        <v>21352.62</v>
      </c>
      <c r="F417" s="593">
        <f>+C417*E417</f>
        <v>77723.539999999994</v>
      </c>
    </row>
    <row r="418" spans="1:7">
      <c r="A418" s="305"/>
      <c r="B418" s="308" t="s">
        <v>438</v>
      </c>
      <c r="C418" s="306">
        <f>(2.6*2.5*0.15)-((3.14*0.36)*0.25)</f>
        <v>0.69</v>
      </c>
      <c r="D418" s="307" t="s">
        <v>355</v>
      </c>
      <c r="E418" s="309">
        <f>+F171</f>
        <v>36573.57</v>
      </c>
      <c r="F418" s="593">
        <f>+C418*E418</f>
        <v>25235.759999999998</v>
      </c>
    </row>
    <row r="419" spans="1:7">
      <c r="A419" s="305"/>
      <c r="B419" s="308"/>
      <c r="C419" s="306"/>
      <c r="D419" s="307"/>
      <c r="E419" s="306"/>
      <c r="F419" s="593"/>
    </row>
    <row r="420" spans="1:7">
      <c r="A420" s="302"/>
      <c r="B420" s="301" t="s">
        <v>439</v>
      </c>
      <c r="C420" s="306"/>
      <c r="D420" s="307"/>
      <c r="E420" s="306"/>
      <c r="F420" s="593"/>
    </row>
    <row r="421" spans="1:7">
      <c r="A421" s="305"/>
      <c r="B421" s="308" t="s">
        <v>440</v>
      </c>
      <c r="C421" s="306">
        <f>2.6*2.5</f>
        <v>6.5</v>
      </c>
      <c r="D421" s="307" t="s">
        <v>381</v>
      </c>
      <c r="E421" s="306">
        <v>425</v>
      </c>
      <c r="F421" s="593">
        <f>+C421*E421</f>
        <v>2762.5</v>
      </c>
    </row>
    <row r="422" spans="1:7">
      <c r="A422" s="305"/>
      <c r="B422" s="308"/>
      <c r="C422" s="306"/>
      <c r="D422" s="307"/>
      <c r="E422" s="306"/>
      <c r="F422" s="593"/>
    </row>
    <row r="423" spans="1:7">
      <c r="A423" s="302"/>
      <c r="B423" s="301" t="s">
        <v>441</v>
      </c>
      <c r="C423" s="306"/>
      <c r="D423" s="307"/>
      <c r="E423" s="306"/>
      <c r="F423" s="593"/>
    </row>
    <row r="424" spans="1:7">
      <c r="A424" s="305"/>
      <c r="B424" s="308" t="s">
        <v>442</v>
      </c>
      <c r="C424" s="306">
        <v>1</v>
      </c>
      <c r="D424" s="307" t="s">
        <v>443</v>
      </c>
      <c r="E424" s="306">
        <v>4000</v>
      </c>
      <c r="F424" s="593">
        <f>+C424*E424</f>
        <v>4000</v>
      </c>
    </row>
    <row r="425" spans="1:7">
      <c r="A425" s="302"/>
      <c r="B425" s="301"/>
      <c r="C425" s="303"/>
      <c r="D425" s="304"/>
      <c r="E425" s="303"/>
      <c r="F425" s="592"/>
    </row>
    <row r="426" spans="1:7">
      <c r="A426" s="302"/>
      <c r="B426" s="301"/>
      <c r="C426" s="303"/>
      <c r="D426" s="304"/>
      <c r="E426" s="303"/>
      <c r="F426" s="592"/>
    </row>
    <row r="427" spans="1:7" ht="18.75" thickBot="1">
      <c r="A427" s="310"/>
      <c r="B427" s="311" t="s">
        <v>444</v>
      </c>
      <c r="C427" s="312"/>
      <c r="D427" s="313"/>
      <c r="E427" s="314"/>
      <c r="F427" s="315">
        <f>SUM(F408:F424)</f>
        <v>159502.45000000001</v>
      </c>
    </row>
    <row r="428" spans="1:7" ht="18.75" thickTop="1">
      <c r="A428" s="299"/>
      <c r="B428" s="300"/>
      <c r="C428" s="301"/>
      <c r="D428" s="301"/>
      <c r="E428" s="301"/>
      <c r="F428" s="591"/>
      <c r="G428" s="61">
        <f>4.32-0.4</f>
        <v>3.92</v>
      </c>
    </row>
    <row r="429" spans="1:7">
      <c r="A429" s="299"/>
      <c r="B429" s="300" t="s">
        <v>445</v>
      </c>
      <c r="C429" s="301"/>
      <c r="D429" s="301"/>
      <c r="E429" s="301"/>
      <c r="F429" s="591"/>
    </row>
    <row r="430" spans="1:7">
      <c r="A430" s="299"/>
      <c r="B430" s="301"/>
      <c r="C430" s="301"/>
      <c r="D430" s="301"/>
      <c r="E430" s="301"/>
      <c r="F430" s="591"/>
    </row>
    <row r="431" spans="1:7">
      <c r="A431" s="302"/>
      <c r="B431" s="301" t="s">
        <v>328</v>
      </c>
      <c r="C431" s="303">
        <v>1</v>
      </c>
      <c r="D431" s="304" t="s">
        <v>359</v>
      </c>
      <c r="E431" s="303">
        <v>1000</v>
      </c>
      <c r="F431" s="592">
        <f>+C431*E431</f>
        <v>1000</v>
      </c>
    </row>
    <row r="432" spans="1:7">
      <c r="A432" s="302"/>
      <c r="B432" s="301"/>
      <c r="C432" s="303"/>
      <c r="D432" s="304"/>
      <c r="E432" s="303"/>
      <c r="F432" s="592"/>
      <c r="G432" s="61">
        <f>2.47-0.4</f>
        <v>2.0699999999999998</v>
      </c>
    </row>
    <row r="433" spans="1:8">
      <c r="A433" s="302"/>
      <c r="B433" s="301" t="s">
        <v>432</v>
      </c>
      <c r="C433" s="303"/>
      <c r="D433" s="304"/>
      <c r="E433" s="303"/>
      <c r="F433" s="592"/>
    </row>
    <row r="434" spans="1:8">
      <c r="A434" s="305"/>
      <c r="B434" s="316" t="s">
        <v>433</v>
      </c>
      <c r="C434" s="306">
        <f>3*3*2.47</f>
        <v>22.23</v>
      </c>
      <c r="D434" s="307" t="s">
        <v>355</v>
      </c>
      <c r="E434" s="306">
        <f>+E411</f>
        <v>262.5</v>
      </c>
      <c r="F434" s="593">
        <f>+C434*E434</f>
        <v>5835.38</v>
      </c>
    </row>
    <row r="435" spans="1:8">
      <c r="A435" s="305"/>
      <c r="B435" s="308" t="s">
        <v>434</v>
      </c>
      <c r="C435" s="306">
        <f>+C434-(2.6*2.5*2.47)</f>
        <v>6.18</v>
      </c>
      <c r="D435" s="307" t="s">
        <v>355</v>
      </c>
      <c r="E435" s="306">
        <f t="shared" ref="E435:E441" si="47">+E412</f>
        <v>190.27</v>
      </c>
      <c r="F435" s="593">
        <f>+C435*E435</f>
        <v>1175.8699999999999</v>
      </c>
      <c r="H435" s="56">
        <v>0.84</v>
      </c>
    </row>
    <row r="436" spans="1:8">
      <c r="A436" s="305"/>
      <c r="B436" s="308" t="s">
        <v>435</v>
      </c>
      <c r="C436" s="306">
        <f>+(C434-C435)*1.3</f>
        <v>20.87</v>
      </c>
      <c r="D436" s="307" t="s">
        <v>355</v>
      </c>
      <c r="E436" s="306">
        <f t="shared" si="47"/>
        <v>371.36</v>
      </c>
      <c r="F436" s="593">
        <f>+C436*E436</f>
        <v>7750.28</v>
      </c>
    </row>
    <row r="437" spans="1:8">
      <c r="A437" s="305"/>
      <c r="B437" s="308"/>
      <c r="C437" s="306" t="s">
        <v>108</v>
      </c>
      <c r="D437" s="307"/>
      <c r="E437" s="306"/>
      <c r="F437" s="593"/>
    </row>
    <row r="438" spans="1:8">
      <c r="A438" s="302"/>
      <c r="B438" s="301" t="s">
        <v>174</v>
      </c>
      <c r="C438" s="306"/>
      <c r="D438" s="307"/>
      <c r="E438" s="306"/>
      <c r="F438" s="593"/>
    </row>
    <row r="439" spans="1:8">
      <c r="A439" s="305"/>
      <c r="B439" s="308" t="s">
        <v>436</v>
      </c>
      <c r="C439" s="306">
        <f>2.6*2.5*0.25</f>
        <v>1.63</v>
      </c>
      <c r="D439" s="307" t="s">
        <v>355</v>
      </c>
      <c r="E439" s="306">
        <f t="shared" si="47"/>
        <v>21459.07</v>
      </c>
      <c r="F439" s="593">
        <f>+C439*E439</f>
        <v>34978.28</v>
      </c>
    </row>
    <row r="440" spans="1:8">
      <c r="A440" s="305"/>
      <c r="B440" s="308" t="s">
        <v>437</v>
      </c>
      <c r="C440" s="306">
        <f>+((2.6*2.07*0.25)*2+(2*2.07*0.25)*2)-((3.14*0.48)*0.25)*2</f>
        <v>4.01</v>
      </c>
      <c r="D440" s="307" t="s">
        <v>355</v>
      </c>
      <c r="E440" s="306">
        <f t="shared" si="47"/>
        <v>21352.62</v>
      </c>
      <c r="F440" s="593">
        <f>+C440*E440</f>
        <v>85624.01</v>
      </c>
    </row>
    <row r="441" spans="1:8">
      <c r="A441" s="305"/>
      <c r="B441" s="308" t="s">
        <v>438</v>
      </c>
      <c r="C441" s="306">
        <f>(2.6*2.5*0.15)-((3.14*0.36)*0.25)</f>
        <v>0.69</v>
      </c>
      <c r="D441" s="307" t="s">
        <v>355</v>
      </c>
      <c r="E441" s="306">
        <f t="shared" si="47"/>
        <v>36573.57</v>
      </c>
      <c r="F441" s="593">
        <f>+C441*E441</f>
        <v>25235.759999999998</v>
      </c>
    </row>
    <row r="442" spans="1:8">
      <c r="A442" s="305"/>
      <c r="B442" s="308"/>
      <c r="C442" s="306"/>
      <c r="D442" s="307"/>
      <c r="E442" s="306"/>
      <c r="F442" s="593"/>
    </row>
    <row r="443" spans="1:8">
      <c r="A443" s="302"/>
      <c r="B443" s="301" t="s">
        <v>439</v>
      </c>
      <c r="C443" s="306"/>
      <c r="D443" s="307"/>
      <c r="E443" s="306"/>
      <c r="F443" s="593"/>
    </row>
    <row r="444" spans="1:8">
      <c r="A444" s="305"/>
      <c r="B444" s="308" t="s">
        <v>440</v>
      </c>
      <c r="C444" s="306">
        <f>2.6*2.5</f>
        <v>6.5</v>
      </c>
      <c r="D444" s="307" t="s">
        <v>381</v>
      </c>
      <c r="E444" s="306">
        <f>+E421</f>
        <v>425</v>
      </c>
      <c r="F444" s="593">
        <f>+C444*E444</f>
        <v>2762.5</v>
      </c>
    </row>
    <row r="445" spans="1:8">
      <c r="A445" s="305"/>
      <c r="B445" s="308"/>
      <c r="C445" s="306"/>
      <c r="D445" s="307"/>
      <c r="E445" s="306"/>
      <c r="F445" s="593"/>
    </row>
    <row r="446" spans="1:8">
      <c r="A446" s="302"/>
      <c r="B446" s="301" t="s">
        <v>441</v>
      </c>
      <c r="C446" s="306"/>
      <c r="D446" s="307"/>
      <c r="E446" s="306"/>
      <c r="F446" s="593"/>
    </row>
    <row r="447" spans="1:8">
      <c r="A447" s="305"/>
      <c r="B447" s="308" t="s">
        <v>442</v>
      </c>
      <c r="C447" s="306">
        <v>1</v>
      </c>
      <c r="D447" s="307" t="s">
        <v>443</v>
      </c>
      <c r="E447" s="306">
        <v>5000</v>
      </c>
      <c r="F447" s="593">
        <f>+C447*E447</f>
        <v>5000</v>
      </c>
    </row>
    <row r="448" spans="1:8">
      <c r="A448" s="302"/>
      <c r="B448" s="301"/>
      <c r="C448" s="303"/>
      <c r="D448" s="304"/>
      <c r="E448" s="303"/>
      <c r="F448" s="592"/>
    </row>
    <row r="449" spans="1:8">
      <c r="A449" s="302"/>
      <c r="B449" s="301"/>
      <c r="C449" s="303"/>
      <c r="D449" s="304"/>
      <c r="E449" s="303"/>
      <c r="F449" s="592"/>
      <c r="G449" s="61">
        <f>4.08-0.4</f>
        <v>3.68</v>
      </c>
    </row>
    <row r="450" spans="1:8" ht="18.75" thickBot="1">
      <c r="A450" s="310"/>
      <c r="B450" s="311" t="s">
        <v>444</v>
      </c>
      <c r="C450" s="312"/>
      <c r="D450" s="313"/>
      <c r="E450" s="314"/>
      <c r="F450" s="315">
        <f>SUM(F431:F447)</f>
        <v>169362.08</v>
      </c>
    </row>
    <row r="451" spans="1:8" ht="18.75" thickTop="1">
      <c r="A451" s="299"/>
      <c r="B451" s="300"/>
      <c r="C451" s="301"/>
      <c r="D451" s="301"/>
      <c r="E451" s="301"/>
      <c r="F451" s="591"/>
    </row>
    <row r="452" spans="1:8">
      <c r="A452" s="299"/>
      <c r="B452" s="300" t="s">
        <v>446</v>
      </c>
      <c r="C452" s="301"/>
      <c r="D452" s="301"/>
      <c r="E452" s="301"/>
      <c r="F452" s="591"/>
    </row>
    <row r="453" spans="1:8">
      <c r="A453" s="299"/>
      <c r="B453" s="301"/>
      <c r="C453" s="301"/>
      <c r="D453" s="301"/>
      <c r="E453" s="301"/>
      <c r="F453" s="591"/>
    </row>
    <row r="454" spans="1:8">
      <c r="A454" s="302"/>
      <c r="B454" s="301" t="s">
        <v>328</v>
      </c>
      <c r="C454" s="303">
        <v>1</v>
      </c>
      <c r="D454" s="304" t="s">
        <v>359</v>
      </c>
      <c r="E454" s="303">
        <v>1000</v>
      </c>
      <c r="F454" s="592">
        <f>+C454*E454</f>
        <v>1000</v>
      </c>
    </row>
    <row r="455" spans="1:8">
      <c r="A455" s="302"/>
      <c r="B455" s="301"/>
      <c r="C455" s="303"/>
      <c r="D455" s="304"/>
      <c r="E455" s="303"/>
      <c r="F455" s="592"/>
    </row>
    <row r="456" spans="1:8">
      <c r="A456" s="302"/>
      <c r="B456" s="301" t="s">
        <v>432</v>
      </c>
      <c r="C456" s="303"/>
      <c r="D456" s="304"/>
      <c r="E456" s="303"/>
      <c r="F456" s="592"/>
    </row>
    <row r="457" spans="1:8">
      <c r="A457" s="305"/>
      <c r="B457" s="316" t="s">
        <v>433</v>
      </c>
      <c r="C457" s="306">
        <f>3*3*2.62</f>
        <v>23.58</v>
      </c>
      <c r="D457" s="307" t="s">
        <v>355</v>
      </c>
      <c r="E457" s="306">
        <f>+E434</f>
        <v>262.5</v>
      </c>
      <c r="F457" s="593">
        <f>+C457*E457</f>
        <v>6189.75</v>
      </c>
      <c r="H457" s="56">
        <f>2.62-0.4</f>
        <v>2.2200000000000002</v>
      </c>
    </row>
    <row r="458" spans="1:8">
      <c r="A458" s="305"/>
      <c r="B458" s="308" t="s">
        <v>434</v>
      </c>
      <c r="C458" s="306">
        <f>+C457-(2.6*2.5*2.62)</f>
        <v>6.55</v>
      </c>
      <c r="D458" s="307" t="s">
        <v>355</v>
      </c>
      <c r="E458" s="306">
        <f t="shared" ref="E458:E464" si="48">+E435</f>
        <v>190.27</v>
      </c>
      <c r="F458" s="593">
        <f>+C458*E458</f>
        <v>1246.27</v>
      </c>
    </row>
    <row r="459" spans="1:8">
      <c r="A459" s="305"/>
      <c r="B459" s="308" t="s">
        <v>435</v>
      </c>
      <c r="C459" s="306">
        <f>+(C457-C458)*1.3</f>
        <v>22.14</v>
      </c>
      <c r="D459" s="307" t="s">
        <v>355</v>
      </c>
      <c r="E459" s="306">
        <f t="shared" si="48"/>
        <v>371.36</v>
      </c>
      <c r="F459" s="593">
        <f>+C459*E459</f>
        <v>8221.91</v>
      </c>
    </row>
    <row r="460" spans="1:8">
      <c r="A460" s="305"/>
      <c r="B460" s="308"/>
      <c r="C460" s="306" t="s">
        <v>108</v>
      </c>
      <c r="D460" s="307"/>
      <c r="E460" s="306"/>
      <c r="F460" s="593"/>
    </row>
    <row r="461" spans="1:8">
      <c r="A461" s="302"/>
      <c r="B461" s="301" t="s">
        <v>174</v>
      </c>
      <c r="C461" s="306"/>
      <c r="D461" s="307"/>
      <c r="E461" s="306"/>
      <c r="F461" s="593"/>
    </row>
    <row r="462" spans="1:8">
      <c r="A462" s="305"/>
      <c r="B462" s="308" t="s">
        <v>436</v>
      </c>
      <c r="C462" s="306">
        <f>2.6*2.5*0.25</f>
        <v>1.63</v>
      </c>
      <c r="D462" s="307" t="s">
        <v>355</v>
      </c>
      <c r="E462" s="306">
        <f t="shared" si="48"/>
        <v>21459.07</v>
      </c>
      <c r="F462" s="593">
        <f>+C462*E462</f>
        <v>34978.28</v>
      </c>
      <c r="H462" s="317">
        <v>0.8</v>
      </c>
    </row>
    <row r="463" spans="1:8">
      <c r="A463" s="305"/>
      <c r="B463" s="308" t="s">
        <v>437</v>
      </c>
      <c r="C463" s="306">
        <f>+((2.6*2.22*0.25)*2+(2*2.22*0.25)*2)-((3.14*0.48)*0.25)*2</f>
        <v>4.3499999999999996</v>
      </c>
      <c r="D463" s="307" t="s">
        <v>355</v>
      </c>
      <c r="E463" s="306">
        <f t="shared" si="48"/>
        <v>21352.62</v>
      </c>
      <c r="F463" s="593">
        <f>+C463*E463</f>
        <v>92883.9</v>
      </c>
    </row>
    <row r="464" spans="1:8">
      <c r="A464" s="305"/>
      <c r="B464" s="308" t="s">
        <v>438</v>
      </c>
      <c r="C464" s="306">
        <f>(2.6*2.5*0.15)-((3.14*0.36)*0.25)</f>
        <v>0.69</v>
      </c>
      <c r="D464" s="307" t="s">
        <v>355</v>
      </c>
      <c r="E464" s="306">
        <f t="shared" si="48"/>
        <v>36573.57</v>
      </c>
      <c r="F464" s="593">
        <f>+C464*E464</f>
        <v>25235.759999999998</v>
      </c>
    </row>
    <row r="465" spans="1:8">
      <c r="A465" s="305"/>
      <c r="B465" s="308"/>
      <c r="C465" s="306"/>
      <c r="D465" s="307"/>
      <c r="E465" s="306"/>
      <c r="F465" s="593"/>
    </row>
    <row r="466" spans="1:8">
      <c r="A466" s="302"/>
      <c r="B466" s="301" t="s">
        <v>439</v>
      </c>
      <c r="C466" s="306"/>
      <c r="D466" s="307"/>
      <c r="E466" s="306"/>
      <c r="F466" s="593"/>
    </row>
    <row r="467" spans="1:8">
      <c r="A467" s="305"/>
      <c r="B467" s="308" t="s">
        <v>440</v>
      </c>
      <c r="C467" s="306">
        <f>2.6*2.5</f>
        <v>6.5</v>
      </c>
      <c r="D467" s="307" t="s">
        <v>381</v>
      </c>
      <c r="E467" s="306">
        <f>+E444</f>
        <v>425</v>
      </c>
      <c r="F467" s="593">
        <f>+C467*E467</f>
        <v>2762.5</v>
      </c>
    </row>
    <row r="468" spans="1:8">
      <c r="A468" s="305"/>
      <c r="B468" s="308"/>
      <c r="C468" s="306"/>
      <c r="D468" s="307"/>
      <c r="E468" s="306"/>
      <c r="F468" s="593"/>
    </row>
    <row r="469" spans="1:8">
      <c r="A469" s="302"/>
      <c r="B469" s="301" t="s">
        <v>441</v>
      </c>
      <c r="C469" s="306"/>
      <c r="D469" s="307"/>
      <c r="E469" s="306"/>
      <c r="F469" s="593"/>
    </row>
    <row r="470" spans="1:8">
      <c r="A470" s="305"/>
      <c r="B470" s="308" t="s">
        <v>442</v>
      </c>
      <c r="C470" s="306">
        <v>1</v>
      </c>
      <c r="D470" s="307" t="s">
        <v>443</v>
      </c>
      <c r="E470" s="306">
        <v>5000</v>
      </c>
      <c r="F470" s="593">
        <f>+C470*E470</f>
        <v>5000</v>
      </c>
    </row>
    <row r="471" spans="1:8">
      <c r="A471" s="302"/>
      <c r="B471" s="301"/>
      <c r="C471" s="303"/>
      <c r="D471" s="304"/>
      <c r="E471" s="303"/>
      <c r="F471" s="592"/>
    </row>
    <row r="472" spans="1:8">
      <c r="A472" s="302"/>
      <c r="B472" s="301"/>
      <c r="C472" s="303"/>
      <c r="D472" s="304"/>
      <c r="E472" s="303"/>
      <c r="F472" s="592"/>
    </row>
    <row r="473" spans="1:8" ht="18.75" thickBot="1">
      <c r="A473" s="310"/>
      <c r="B473" s="311" t="s">
        <v>444</v>
      </c>
      <c r="C473" s="312"/>
      <c r="D473" s="313"/>
      <c r="E473" s="314"/>
      <c r="F473" s="315">
        <f>SUM(F454:F470)</f>
        <v>177518.37</v>
      </c>
    </row>
    <row r="474" spans="1:8" ht="18.75" thickTop="1">
      <c r="A474" s="299"/>
      <c r="B474" s="300"/>
      <c r="C474" s="301"/>
      <c r="D474" s="301"/>
      <c r="E474" s="301"/>
      <c r="F474" s="591"/>
    </row>
    <row r="475" spans="1:8" ht="54">
      <c r="A475" s="299"/>
      <c r="B475" s="300" t="s">
        <v>447</v>
      </c>
      <c r="C475" s="301"/>
      <c r="D475" s="301"/>
      <c r="E475" s="301"/>
      <c r="F475" s="591"/>
      <c r="H475" s="56">
        <f>4.25-0.4</f>
        <v>3.85</v>
      </c>
    </row>
    <row r="476" spans="1:8">
      <c r="A476" s="299"/>
      <c r="B476" s="301"/>
      <c r="C476" s="301"/>
      <c r="D476" s="301"/>
      <c r="E476" s="301"/>
      <c r="F476" s="591"/>
    </row>
    <row r="477" spans="1:8">
      <c r="A477" s="302"/>
      <c r="B477" s="301" t="s">
        <v>328</v>
      </c>
      <c r="C477" s="303">
        <v>1</v>
      </c>
      <c r="D477" s="304" t="s">
        <v>359</v>
      </c>
      <c r="E477" s="303">
        <v>1000</v>
      </c>
      <c r="F477" s="592">
        <f>+C477*E477</f>
        <v>1000</v>
      </c>
    </row>
    <row r="478" spans="1:8">
      <c r="A478" s="302"/>
      <c r="B478" s="301"/>
      <c r="C478" s="303"/>
      <c r="D478" s="304"/>
      <c r="E478" s="303"/>
      <c r="F478" s="592"/>
    </row>
    <row r="479" spans="1:8">
      <c r="A479" s="302"/>
      <c r="B479" s="301" t="s">
        <v>432</v>
      </c>
      <c r="C479" s="303"/>
      <c r="D479" s="304"/>
      <c r="E479" s="303"/>
      <c r="F479" s="592"/>
      <c r="H479" s="56">
        <f>2.69-0.4</f>
        <v>2.29</v>
      </c>
    </row>
    <row r="480" spans="1:8">
      <c r="A480" s="305"/>
      <c r="B480" s="316" t="s">
        <v>433</v>
      </c>
      <c r="C480" s="306">
        <f>3*3*2.62</f>
        <v>23.58</v>
      </c>
      <c r="D480" s="307" t="s">
        <v>355</v>
      </c>
      <c r="E480" s="306">
        <f>+E457</f>
        <v>262.5</v>
      </c>
      <c r="F480" s="593">
        <f>+C480*E480</f>
        <v>6189.75</v>
      </c>
    </row>
    <row r="481" spans="1:7">
      <c r="A481" s="305"/>
      <c r="B481" s="308" t="s">
        <v>434</v>
      </c>
      <c r="C481" s="306">
        <f>+C480-(2.6*2.5*2.62)</f>
        <v>6.55</v>
      </c>
      <c r="D481" s="307" t="s">
        <v>355</v>
      </c>
      <c r="E481" s="306">
        <f t="shared" ref="E481:E487" si="49">+E458</f>
        <v>190.27</v>
      </c>
      <c r="F481" s="593">
        <f>+C481*E481</f>
        <v>1246.27</v>
      </c>
    </row>
    <row r="482" spans="1:7">
      <c r="A482" s="305"/>
      <c r="B482" s="308" t="s">
        <v>435</v>
      </c>
      <c r="C482" s="306">
        <f>+(C480-C481)*1.3</f>
        <v>22.14</v>
      </c>
      <c r="D482" s="307" t="s">
        <v>355</v>
      </c>
      <c r="E482" s="306">
        <f t="shared" si="49"/>
        <v>371.36</v>
      </c>
      <c r="F482" s="593">
        <f>+C482*E482</f>
        <v>8221.91</v>
      </c>
    </row>
    <row r="483" spans="1:7">
      <c r="A483" s="305"/>
      <c r="B483" s="308"/>
      <c r="C483" s="306" t="s">
        <v>108</v>
      </c>
      <c r="D483" s="307"/>
      <c r="E483" s="306"/>
      <c r="F483" s="593"/>
    </row>
    <row r="484" spans="1:7">
      <c r="A484" s="302"/>
      <c r="B484" s="301" t="s">
        <v>174</v>
      </c>
      <c r="C484" s="306"/>
      <c r="D484" s="307"/>
      <c r="E484" s="306"/>
      <c r="F484" s="593"/>
    </row>
    <row r="485" spans="1:7">
      <c r="A485" s="305"/>
      <c r="B485" s="308" t="s">
        <v>436</v>
      </c>
      <c r="C485" s="306">
        <f>2.6*2.5*0.25</f>
        <v>1.63</v>
      </c>
      <c r="D485" s="307" t="s">
        <v>355</v>
      </c>
      <c r="E485" s="306">
        <f t="shared" si="49"/>
        <v>21459.07</v>
      </c>
      <c r="F485" s="593">
        <f>+C485*E485</f>
        <v>34978.28</v>
      </c>
    </row>
    <row r="486" spans="1:7">
      <c r="A486" s="305"/>
      <c r="B486" s="308" t="s">
        <v>437</v>
      </c>
      <c r="C486" s="306">
        <f>+((2.6*2.22*0.25)*2+(2*2.22*0.25)*2)-((3.14*0.6)*0.25)*2</f>
        <v>4.16</v>
      </c>
      <c r="D486" s="307" t="s">
        <v>355</v>
      </c>
      <c r="E486" s="306">
        <f t="shared" si="49"/>
        <v>21352.62</v>
      </c>
      <c r="F486" s="593">
        <f>+C486*E486</f>
        <v>88826.9</v>
      </c>
      <c r="G486" s="61">
        <v>0.72</v>
      </c>
    </row>
    <row r="487" spans="1:7">
      <c r="A487" s="305"/>
      <c r="B487" s="308" t="s">
        <v>438</v>
      </c>
      <c r="C487" s="306">
        <f>(2.6*2.5*0.15)-((3.14*0.36)*0.25)</f>
        <v>0.69</v>
      </c>
      <c r="D487" s="307" t="s">
        <v>355</v>
      </c>
      <c r="E487" s="306">
        <f t="shared" si="49"/>
        <v>36573.57</v>
      </c>
      <c r="F487" s="593">
        <f>+C487*E487</f>
        <v>25235.759999999998</v>
      </c>
    </row>
    <row r="488" spans="1:7">
      <c r="A488" s="305"/>
      <c r="B488" s="308"/>
      <c r="C488" s="306"/>
      <c r="D488" s="307"/>
      <c r="E488" s="306"/>
      <c r="F488" s="593"/>
    </row>
    <row r="489" spans="1:7">
      <c r="A489" s="302"/>
      <c r="B489" s="301" t="s">
        <v>439</v>
      </c>
      <c r="C489" s="306"/>
      <c r="D489" s="307"/>
      <c r="E489" s="306"/>
      <c r="F489" s="593"/>
    </row>
    <row r="490" spans="1:7">
      <c r="A490" s="305"/>
      <c r="B490" s="308" t="s">
        <v>440</v>
      </c>
      <c r="C490" s="306">
        <f>2.6*2.5</f>
        <v>6.5</v>
      </c>
      <c r="D490" s="307" t="s">
        <v>381</v>
      </c>
      <c r="E490" s="306">
        <f>+E467</f>
        <v>425</v>
      </c>
      <c r="F490" s="593">
        <f>+C490*E490</f>
        <v>2762.5</v>
      </c>
    </row>
    <row r="491" spans="1:7">
      <c r="A491" s="305"/>
      <c r="B491" s="308"/>
      <c r="C491" s="306"/>
      <c r="D491" s="307"/>
      <c r="E491" s="306"/>
      <c r="F491" s="593"/>
    </row>
    <row r="492" spans="1:7">
      <c r="A492" s="302"/>
      <c r="B492" s="301" t="s">
        <v>441</v>
      </c>
      <c r="C492" s="306"/>
      <c r="D492" s="307"/>
      <c r="E492" s="306"/>
      <c r="F492" s="593"/>
    </row>
    <row r="493" spans="1:7">
      <c r="A493" s="305"/>
      <c r="B493" s="308" t="s">
        <v>442</v>
      </c>
      <c r="C493" s="306">
        <v>1</v>
      </c>
      <c r="D493" s="307" t="s">
        <v>443</v>
      </c>
      <c r="E493" s="306">
        <v>5000</v>
      </c>
      <c r="F493" s="593">
        <f>+C493*E493</f>
        <v>5000</v>
      </c>
    </row>
    <row r="494" spans="1:7">
      <c r="A494" s="302"/>
      <c r="B494" s="301"/>
      <c r="C494" s="303"/>
      <c r="D494" s="304"/>
      <c r="E494" s="303"/>
      <c r="F494" s="592"/>
    </row>
    <row r="495" spans="1:7">
      <c r="A495" s="302"/>
      <c r="B495" s="301"/>
      <c r="C495" s="303"/>
      <c r="D495" s="304"/>
      <c r="E495" s="303"/>
      <c r="F495" s="592"/>
    </row>
    <row r="496" spans="1:7" ht="18.75" thickBot="1">
      <c r="A496" s="310"/>
      <c r="B496" s="311" t="s">
        <v>444</v>
      </c>
      <c r="C496" s="312"/>
      <c r="D496" s="313"/>
      <c r="E496" s="314"/>
      <c r="F496" s="315">
        <f>SUM(F477:F493)</f>
        <v>173461.37</v>
      </c>
    </row>
    <row r="497" spans="1:7" ht="18.75" thickTop="1">
      <c r="A497" s="299"/>
      <c r="B497" s="300"/>
      <c r="C497" s="301"/>
      <c r="D497" s="301"/>
      <c r="E497" s="301"/>
      <c r="F497" s="591"/>
    </row>
    <row r="498" spans="1:7">
      <c r="A498" s="299"/>
      <c r="B498" s="300" t="s">
        <v>448</v>
      </c>
      <c r="C498" s="301"/>
      <c r="D498" s="301"/>
      <c r="E498" s="301"/>
      <c r="F498" s="591"/>
      <c r="G498" s="61">
        <f>3.8-0.4</f>
        <v>3.4</v>
      </c>
    </row>
    <row r="499" spans="1:7">
      <c r="A499" s="299"/>
      <c r="B499" s="301"/>
      <c r="C499" s="301"/>
      <c r="D499" s="301"/>
      <c r="E499" s="301"/>
      <c r="F499" s="591"/>
    </row>
    <row r="500" spans="1:7">
      <c r="A500" s="302"/>
      <c r="B500" s="301" t="s">
        <v>328</v>
      </c>
      <c r="C500" s="303">
        <v>1</v>
      </c>
      <c r="D500" s="304" t="s">
        <v>359</v>
      </c>
      <c r="E500" s="303">
        <v>1000</v>
      </c>
      <c r="F500" s="592">
        <f>+C500*E500</f>
        <v>1000</v>
      </c>
    </row>
    <row r="501" spans="1:7">
      <c r="A501" s="302"/>
      <c r="B501" s="301"/>
      <c r="C501" s="303"/>
      <c r="D501" s="304"/>
      <c r="E501" s="303"/>
      <c r="F501" s="592"/>
    </row>
    <row r="502" spans="1:7">
      <c r="A502" s="302"/>
      <c r="B502" s="301" t="s">
        <v>432</v>
      </c>
      <c r="C502" s="303"/>
      <c r="D502" s="304"/>
      <c r="E502" s="303"/>
      <c r="F502" s="592"/>
    </row>
    <row r="503" spans="1:7">
      <c r="A503" s="305"/>
      <c r="B503" s="316" t="s">
        <v>433</v>
      </c>
      <c r="C503" s="306">
        <f>3*3*2.69</f>
        <v>24.21</v>
      </c>
      <c r="D503" s="307" t="s">
        <v>355</v>
      </c>
      <c r="E503" s="306">
        <f>+E457</f>
        <v>262.5</v>
      </c>
      <c r="F503" s="593">
        <f>+C503*E503</f>
        <v>6355.13</v>
      </c>
    </row>
    <row r="504" spans="1:7">
      <c r="A504" s="305"/>
      <c r="B504" s="308" t="s">
        <v>434</v>
      </c>
      <c r="C504" s="306">
        <f>+C503-(2.6*2.5*2.69)</f>
        <v>6.73</v>
      </c>
      <c r="D504" s="307" t="s">
        <v>355</v>
      </c>
      <c r="E504" s="306">
        <f>+E458</f>
        <v>190.27</v>
      </c>
      <c r="F504" s="593">
        <f>+C504*E504</f>
        <v>1280.52</v>
      </c>
    </row>
    <row r="505" spans="1:7">
      <c r="A505" s="305"/>
      <c r="B505" s="308" t="s">
        <v>435</v>
      </c>
      <c r="C505" s="306">
        <f>+(C503-C504)*1.3</f>
        <v>22.72</v>
      </c>
      <c r="D505" s="307" t="s">
        <v>355</v>
      </c>
      <c r="E505" s="306">
        <f>+E459</f>
        <v>371.36</v>
      </c>
      <c r="F505" s="593">
        <f>+C505*E505</f>
        <v>8437.2999999999993</v>
      </c>
    </row>
    <row r="506" spans="1:7">
      <c r="A506" s="305"/>
      <c r="B506" s="308"/>
      <c r="C506" s="306" t="s">
        <v>108</v>
      </c>
      <c r="D506" s="307"/>
      <c r="E506" s="306"/>
      <c r="F506" s="593"/>
    </row>
    <row r="507" spans="1:7">
      <c r="A507" s="302"/>
      <c r="B507" s="301" t="s">
        <v>174</v>
      </c>
      <c r="C507" s="306"/>
      <c r="D507" s="307"/>
      <c r="E507" s="306"/>
      <c r="F507" s="593"/>
    </row>
    <row r="508" spans="1:7">
      <c r="A508" s="305"/>
      <c r="B508" s="308" t="s">
        <v>436</v>
      </c>
      <c r="C508" s="306">
        <f>2.6*2.5*0.25</f>
        <v>1.63</v>
      </c>
      <c r="D508" s="307" t="s">
        <v>355</v>
      </c>
      <c r="E508" s="306">
        <f>+E462</f>
        <v>21459.07</v>
      </c>
      <c r="F508" s="593">
        <f>+C508*E508</f>
        <v>34978.28</v>
      </c>
    </row>
    <row r="509" spans="1:7">
      <c r="A509" s="305"/>
      <c r="B509" s="308" t="s">
        <v>437</v>
      </c>
      <c r="C509" s="306">
        <f>+((2.6*2.29*0.25)*2+(2*2.29*0.25)*2)-((3.14*0.48)*0.25)*2</f>
        <v>4.51</v>
      </c>
      <c r="D509" s="307" t="s">
        <v>355</v>
      </c>
      <c r="E509" s="306">
        <f>+E463</f>
        <v>21352.62</v>
      </c>
      <c r="F509" s="593">
        <f>+C509*E509</f>
        <v>96300.32</v>
      </c>
    </row>
    <row r="510" spans="1:7">
      <c r="A510" s="305"/>
      <c r="B510" s="308" t="s">
        <v>438</v>
      </c>
      <c r="C510" s="306">
        <f>(2.6*2.5*0.15)-((3.14*0.36)*0.25)</f>
        <v>0.69</v>
      </c>
      <c r="D510" s="307" t="s">
        <v>355</v>
      </c>
      <c r="E510" s="306">
        <f>+E464</f>
        <v>36573.57</v>
      </c>
      <c r="F510" s="593">
        <f>+C510*E510</f>
        <v>25235.759999999998</v>
      </c>
    </row>
    <row r="511" spans="1:7">
      <c r="A511" s="305"/>
      <c r="B511" s="308"/>
      <c r="C511" s="306"/>
      <c r="D511" s="307"/>
      <c r="E511" s="306"/>
      <c r="F511" s="593"/>
    </row>
    <row r="512" spans="1:7">
      <c r="A512" s="302"/>
      <c r="B512" s="301" t="s">
        <v>439</v>
      </c>
      <c r="C512" s="306"/>
      <c r="D512" s="307"/>
      <c r="E512" s="306"/>
      <c r="F512" s="593"/>
    </row>
    <row r="513" spans="1:8">
      <c r="A513" s="305"/>
      <c r="B513" s="308" t="s">
        <v>440</v>
      </c>
      <c r="C513" s="306">
        <f>2.6*2.5</f>
        <v>6.5</v>
      </c>
      <c r="D513" s="307" t="s">
        <v>381</v>
      </c>
      <c r="E513" s="306">
        <f>+E467</f>
        <v>425</v>
      </c>
      <c r="F513" s="593">
        <f>+C513*E513</f>
        <v>2762.5</v>
      </c>
    </row>
    <row r="514" spans="1:8">
      <c r="A514" s="305"/>
      <c r="B514" s="308"/>
      <c r="C514" s="306"/>
      <c r="D514" s="307"/>
      <c r="E514" s="306"/>
      <c r="F514" s="593"/>
    </row>
    <row r="515" spans="1:8">
      <c r="A515" s="302"/>
      <c r="B515" s="301" t="s">
        <v>441</v>
      </c>
      <c r="C515" s="306"/>
      <c r="D515" s="307"/>
      <c r="E515" s="306"/>
      <c r="F515" s="593"/>
    </row>
    <row r="516" spans="1:8">
      <c r="A516" s="305"/>
      <c r="B516" s="308" t="s">
        <v>442</v>
      </c>
      <c r="C516" s="306">
        <v>1</v>
      </c>
      <c r="D516" s="307" t="s">
        <v>443</v>
      </c>
      <c r="E516" s="306">
        <v>5000</v>
      </c>
      <c r="F516" s="593">
        <f>+C516*E516</f>
        <v>5000</v>
      </c>
    </row>
    <row r="517" spans="1:8">
      <c r="A517" s="302"/>
      <c r="B517" s="301"/>
      <c r="C517" s="303"/>
      <c r="D517" s="304"/>
      <c r="E517" s="303"/>
      <c r="F517" s="592"/>
    </row>
    <row r="518" spans="1:8">
      <c r="A518" s="302"/>
      <c r="B518" s="301"/>
      <c r="C518" s="303"/>
      <c r="D518" s="304"/>
      <c r="E518" s="303"/>
      <c r="F518" s="592"/>
    </row>
    <row r="519" spans="1:8" ht="18.75" thickBot="1">
      <c r="A519" s="310"/>
      <c r="B519" s="311" t="s">
        <v>444</v>
      </c>
      <c r="C519" s="312"/>
      <c r="D519" s="313"/>
      <c r="E519" s="314"/>
      <c r="F519" s="315">
        <f>SUM(F500:F516)</f>
        <v>181349.81</v>
      </c>
    </row>
    <row r="520" spans="1:8" ht="18.75" thickTop="1">
      <c r="A520" s="299"/>
      <c r="B520" s="300"/>
      <c r="C520" s="301"/>
      <c r="D520" s="301"/>
      <c r="E520" s="301"/>
      <c r="F520" s="591"/>
    </row>
    <row r="521" spans="1:8" ht="54">
      <c r="A521" s="299"/>
      <c r="B521" s="300" t="s">
        <v>449</v>
      </c>
      <c r="C521" s="301"/>
      <c r="D521" s="301"/>
      <c r="E521" s="301"/>
      <c r="F521" s="591"/>
    </row>
    <row r="522" spans="1:8">
      <c r="A522" s="299"/>
      <c r="B522" s="301"/>
      <c r="C522" s="301"/>
      <c r="D522" s="301"/>
      <c r="E522" s="301"/>
      <c r="F522" s="591"/>
    </row>
    <row r="523" spans="1:8">
      <c r="A523" s="302"/>
      <c r="B523" s="301" t="s">
        <v>328</v>
      </c>
      <c r="C523" s="303">
        <v>1</v>
      </c>
      <c r="D523" s="304" t="s">
        <v>359</v>
      </c>
      <c r="E523" s="303">
        <v>1000</v>
      </c>
      <c r="F523" s="592">
        <f>+C523*E523</f>
        <v>1000</v>
      </c>
    </row>
    <row r="524" spans="1:8">
      <c r="A524" s="302"/>
      <c r="B524" s="301"/>
      <c r="C524" s="303"/>
      <c r="D524" s="304"/>
      <c r="E524" s="303"/>
      <c r="F524" s="592"/>
    </row>
    <row r="525" spans="1:8">
      <c r="A525" s="302"/>
      <c r="B525" s="301" t="s">
        <v>432</v>
      </c>
      <c r="C525" s="303"/>
      <c r="D525" s="304"/>
      <c r="E525" s="303"/>
      <c r="F525" s="592"/>
    </row>
    <row r="526" spans="1:8">
      <c r="A526" s="305"/>
      <c r="B526" s="316" t="s">
        <v>433</v>
      </c>
      <c r="C526" s="306">
        <f>3*3*2.93</f>
        <v>26.37</v>
      </c>
      <c r="D526" s="307" t="s">
        <v>355</v>
      </c>
      <c r="E526" s="306">
        <f>+E503</f>
        <v>262.5</v>
      </c>
      <c r="F526" s="593">
        <f>+C526*E526</f>
        <v>6922.13</v>
      </c>
      <c r="H526" s="56">
        <f>2.93-0.4</f>
        <v>2.5299999999999998</v>
      </c>
    </row>
    <row r="527" spans="1:8">
      <c r="A527" s="305"/>
      <c r="B527" s="308" t="s">
        <v>434</v>
      </c>
      <c r="C527" s="306">
        <f>+C526-(2.6*2.5*2.93)</f>
        <v>7.33</v>
      </c>
      <c r="D527" s="307" t="s">
        <v>355</v>
      </c>
      <c r="E527" s="306">
        <f t="shared" ref="E527:E533" si="50">+E504</f>
        <v>190.27</v>
      </c>
      <c r="F527" s="593">
        <f>+C527*E527</f>
        <v>1394.68</v>
      </c>
    </row>
    <row r="528" spans="1:8">
      <c r="A528" s="305"/>
      <c r="B528" s="308" t="s">
        <v>435</v>
      </c>
      <c r="C528" s="306">
        <f>+(C526-C527)*1.3</f>
        <v>24.75</v>
      </c>
      <c r="D528" s="307" t="s">
        <v>355</v>
      </c>
      <c r="E528" s="306">
        <f t="shared" si="50"/>
        <v>371.36</v>
      </c>
      <c r="F528" s="593">
        <f>+C528*E528</f>
        <v>9191.16</v>
      </c>
    </row>
    <row r="529" spans="1:6">
      <c r="A529" s="305"/>
      <c r="B529" s="308"/>
      <c r="C529" s="306" t="s">
        <v>108</v>
      </c>
      <c r="D529" s="307"/>
      <c r="E529" s="306"/>
      <c r="F529" s="593"/>
    </row>
    <row r="530" spans="1:6">
      <c r="A530" s="302"/>
      <c r="B530" s="301" t="s">
        <v>174</v>
      </c>
      <c r="C530" s="306"/>
      <c r="D530" s="307"/>
      <c r="E530" s="306"/>
      <c r="F530" s="593"/>
    </row>
    <row r="531" spans="1:6">
      <c r="A531" s="305"/>
      <c r="B531" s="308" t="s">
        <v>436</v>
      </c>
      <c r="C531" s="306">
        <f>2.6*2.5*0.25</f>
        <v>1.63</v>
      </c>
      <c r="D531" s="307" t="s">
        <v>355</v>
      </c>
      <c r="E531" s="306">
        <f t="shared" si="50"/>
        <v>21459.07</v>
      </c>
      <c r="F531" s="593">
        <f>+C531*E531</f>
        <v>34978.28</v>
      </c>
    </row>
    <row r="532" spans="1:6">
      <c r="A532" s="305"/>
      <c r="B532" s="308" t="s">
        <v>437</v>
      </c>
      <c r="C532" s="306">
        <f>+((2.6*2.53*0.25)*2+(2*2.53*0.25)*2)-((3.14*0.8)*0.25)*2</f>
        <v>4.5599999999999996</v>
      </c>
      <c r="D532" s="307" t="s">
        <v>355</v>
      </c>
      <c r="E532" s="306">
        <f t="shared" si="50"/>
        <v>21352.62</v>
      </c>
      <c r="F532" s="593">
        <f>+C532*E532</f>
        <v>97367.95</v>
      </c>
    </row>
    <row r="533" spans="1:6">
      <c r="A533" s="305"/>
      <c r="B533" s="308" t="s">
        <v>438</v>
      </c>
      <c r="C533" s="306">
        <f>(2.6*2.5*0.15)-((3.14*0.36)*0.25)</f>
        <v>0.69</v>
      </c>
      <c r="D533" s="307" t="s">
        <v>355</v>
      </c>
      <c r="E533" s="306">
        <f t="shared" si="50"/>
        <v>36573.57</v>
      </c>
      <c r="F533" s="593">
        <f>+C533*E533</f>
        <v>25235.759999999998</v>
      </c>
    </row>
    <row r="534" spans="1:6">
      <c r="A534" s="305"/>
      <c r="B534" s="308"/>
      <c r="C534" s="306"/>
      <c r="D534" s="307"/>
      <c r="E534" s="306"/>
      <c r="F534" s="593"/>
    </row>
    <row r="535" spans="1:6">
      <c r="A535" s="302"/>
      <c r="B535" s="301" t="s">
        <v>439</v>
      </c>
      <c r="C535" s="306"/>
      <c r="D535" s="307"/>
      <c r="E535" s="306"/>
      <c r="F535" s="593"/>
    </row>
    <row r="536" spans="1:6">
      <c r="A536" s="305"/>
      <c r="B536" s="308" t="s">
        <v>440</v>
      </c>
      <c r="C536" s="306">
        <f>2.6*2.5</f>
        <v>6.5</v>
      </c>
      <c r="D536" s="307" t="s">
        <v>381</v>
      </c>
      <c r="E536" s="306">
        <f>+E513</f>
        <v>425</v>
      </c>
      <c r="F536" s="593">
        <f>+C536*E536</f>
        <v>2762.5</v>
      </c>
    </row>
    <row r="537" spans="1:6">
      <c r="A537" s="305"/>
      <c r="B537" s="308"/>
      <c r="C537" s="306"/>
      <c r="D537" s="307"/>
      <c r="E537" s="306"/>
      <c r="F537" s="593"/>
    </row>
    <row r="538" spans="1:6">
      <c r="A538" s="302"/>
      <c r="B538" s="301" t="s">
        <v>441</v>
      </c>
      <c r="C538" s="306"/>
      <c r="D538" s="307"/>
      <c r="E538" s="306"/>
      <c r="F538" s="593"/>
    </row>
    <row r="539" spans="1:6">
      <c r="A539" s="305"/>
      <c r="B539" s="308" t="s">
        <v>442</v>
      </c>
      <c r="C539" s="306">
        <v>1</v>
      </c>
      <c r="D539" s="307" t="s">
        <v>443</v>
      </c>
      <c r="E539" s="306">
        <v>5000</v>
      </c>
      <c r="F539" s="593">
        <f>+C539*E539</f>
        <v>5000</v>
      </c>
    </row>
    <row r="540" spans="1:6">
      <c r="A540" s="302"/>
      <c r="B540" s="301"/>
      <c r="C540" s="303"/>
      <c r="D540" s="304"/>
      <c r="E540" s="303"/>
      <c r="F540" s="592"/>
    </row>
    <row r="541" spans="1:6">
      <c r="A541" s="302"/>
      <c r="B541" s="301"/>
      <c r="C541" s="303"/>
      <c r="D541" s="304"/>
      <c r="E541" s="303"/>
      <c r="F541" s="592"/>
    </row>
    <row r="542" spans="1:6" ht="18.75" thickBot="1">
      <c r="A542" s="310"/>
      <c r="B542" s="311" t="s">
        <v>444</v>
      </c>
      <c r="C542" s="312"/>
      <c r="D542" s="313"/>
      <c r="E542" s="314"/>
      <c r="F542" s="315">
        <f>SUM(F523:F539)</f>
        <v>183852.46</v>
      </c>
    </row>
    <row r="543" spans="1:6" ht="18.75" thickTop="1">
      <c r="A543" s="299"/>
      <c r="B543" s="300"/>
      <c r="C543" s="301"/>
      <c r="D543" s="301"/>
      <c r="E543" s="301"/>
      <c r="F543" s="591"/>
    </row>
    <row r="544" spans="1:6">
      <c r="A544" s="299"/>
      <c r="B544" s="300" t="s">
        <v>450</v>
      </c>
      <c r="C544" s="301"/>
      <c r="D544" s="301"/>
      <c r="E544" s="301"/>
      <c r="F544" s="591"/>
    </row>
    <row r="545" spans="1:8" ht="27" customHeight="1">
      <c r="A545" s="299"/>
      <c r="B545" s="301"/>
      <c r="C545" s="301"/>
      <c r="D545" s="301"/>
      <c r="E545" s="301"/>
      <c r="F545" s="591"/>
    </row>
    <row r="546" spans="1:8">
      <c r="A546" s="302"/>
      <c r="B546" s="301" t="s">
        <v>328</v>
      </c>
      <c r="C546" s="303">
        <v>1</v>
      </c>
      <c r="D546" s="304" t="s">
        <v>359</v>
      </c>
      <c r="E546" s="303">
        <v>1000</v>
      </c>
      <c r="F546" s="592">
        <f>+C546*E546</f>
        <v>1000</v>
      </c>
      <c r="H546" s="318"/>
    </row>
    <row r="547" spans="1:8">
      <c r="A547" s="302"/>
      <c r="B547" s="301"/>
      <c r="C547" s="303"/>
      <c r="D547" s="304"/>
      <c r="E547" s="303"/>
      <c r="F547" s="592"/>
    </row>
    <row r="548" spans="1:8">
      <c r="A548" s="302"/>
      <c r="B548" s="301" t="s">
        <v>432</v>
      </c>
      <c r="C548" s="303"/>
      <c r="D548" s="304"/>
      <c r="E548" s="303"/>
      <c r="F548" s="592"/>
    </row>
    <row r="549" spans="1:8">
      <c r="A549" s="305"/>
      <c r="B549" s="316" t="s">
        <v>433</v>
      </c>
      <c r="C549" s="306">
        <f>3*3*3.22</f>
        <v>28.98</v>
      </c>
      <c r="D549" s="307" t="s">
        <v>355</v>
      </c>
      <c r="E549" s="306">
        <f>+E526</f>
        <v>262.5</v>
      </c>
      <c r="F549" s="593">
        <f>+C549*E549</f>
        <v>7607.25</v>
      </c>
      <c r="G549" s="61">
        <f>3.22-0.4</f>
        <v>2.82</v>
      </c>
    </row>
    <row r="550" spans="1:8">
      <c r="A550" s="305"/>
      <c r="B550" s="308" t="s">
        <v>434</v>
      </c>
      <c r="C550" s="306">
        <f>+C549-(2.6*2.5*3.22)</f>
        <v>8.0500000000000007</v>
      </c>
      <c r="D550" s="307" t="s">
        <v>355</v>
      </c>
      <c r="E550" s="306">
        <f t="shared" ref="E550:E556" si="51">+E527</f>
        <v>190.27</v>
      </c>
      <c r="F550" s="593">
        <f>+C550*E550</f>
        <v>1531.67</v>
      </c>
    </row>
    <row r="551" spans="1:8">
      <c r="A551" s="305"/>
      <c r="B551" s="308" t="s">
        <v>435</v>
      </c>
      <c r="C551" s="306">
        <f>+(C549-C550)*1.3</f>
        <v>27.21</v>
      </c>
      <c r="D551" s="307" t="s">
        <v>355</v>
      </c>
      <c r="E551" s="306">
        <f t="shared" si="51"/>
        <v>371.36</v>
      </c>
      <c r="F551" s="593">
        <f>+C551*E551</f>
        <v>10104.709999999999</v>
      </c>
    </row>
    <row r="552" spans="1:8">
      <c r="A552" s="305"/>
      <c r="B552" s="308"/>
      <c r="C552" s="306" t="s">
        <v>108</v>
      </c>
      <c r="D552" s="307"/>
      <c r="E552" s="306"/>
      <c r="F552" s="593"/>
    </row>
    <row r="553" spans="1:8">
      <c r="A553" s="302"/>
      <c r="B553" s="301" t="s">
        <v>174</v>
      </c>
      <c r="C553" s="306"/>
      <c r="D553" s="307"/>
      <c r="E553" s="306"/>
      <c r="F553" s="593"/>
    </row>
    <row r="554" spans="1:8">
      <c r="A554" s="305"/>
      <c r="B554" s="308" t="s">
        <v>436</v>
      </c>
      <c r="C554" s="306">
        <f>2.6*2.5*0.25</f>
        <v>1.63</v>
      </c>
      <c r="D554" s="307" t="s">
        <v>355</v>
      </c>
      <c r="E554" s="306">
        <f t="shared" si="51"/>
        <v>21459.07</v>
      </c>
      <c r="F554" s="593">
        <f>+C554*E554</f>
        <v>34978.28</v>
      </c>
    </row>
    <row r="555" spans="1:8">
      <c r="A555" s="305"/>
      <c r="B555" s="308" t="s">
        <v>437</v>
      </c>
      <c r="C555" s="306">
        <f>+((2.6*2.82*0.25)*2+(2*2.82*0.25)*2)-((3.14*0.8)*0.25)*2</f>
        <v>5.23</v>
      </c>
      <c r="D555" s="307" t="s">
        <v>355</v>
      </c>
      <c r="E555" s="306">
        <f t="shared" si="51"/>
        <v>21352.62</v>
      </c>
      <c r="F555" s="593">
        <f>+C555*E555</f>
        <v>111674.2</v>
      </c>
    </row>
    <row r="556" spans="1:8">
      <c r="A556" s="305"/>
      <c r="B556" s="308" t="s">
        <v>438</v>
      </c>
      <c r="C556" s="306">
        <f>(2.6*2.5*0.15)-((3.14*0.36)*0.25)</f>
        <v>0.69</v>
      </c>
      <c r="D556" s="307" t="s">
        <v>355</v>
      </c>
      <c r="E556" s="306">
        <f t="shared" si="51"/>
        <v>36573.57</v>
      </c>
      <c r="F556" s="593">
        <f>+C556*E556</f>
        <v>25235.759999999998</v>
      </c>
    </row>
    <row r="557" spans="1:8">
      <c r="A557" s="305"/>
      <c r="B557" s="308"/>
      <c r="C557" s="306"/>
      <c r="D557" s="307"/>
      <c r="E557" s="306"/>
      <c r="F557" s="593"/>
    </row>
    <row r="558" spans="1:8">
      <c r="A558" s="302"/>
      <c r="B558" s="301" t="s">
        <v>439</v>
      </c>
      <c r="C558" s="306"/>
      <c r="D558" s="307"/>
      <c r="E558" s="306"/>
      <c r="F558" s="593"/>
    </row>
    <row r="559" spans="1:8">
      <c r="A559" s="305"/>
      <c r="B559" s="308" t="s">
        <v>440</v>
      </c>
      <c r="C559" s="306">
        <f>2.6*2.5</f>
        <v>6.5</v>
      </c>
      <c r="D559" s="307" t="s">
        <v>381</v>
      </c>
      <c r="E559" s="306">
        <f>+E536</f>
        <v>425</v>
      </c>
      <c r="F559" s="593">
        <f>+C559*E559</f>
        <v>2762.5</v>
      </c>
    </row>
    <row r="560" spans="1:8">
      <c r="A560" s="305"/>
      <c r="B560" s="308"/>
      <c r="C560" s="306"/>
      <c r="D560" s="307"/>
      <c r="E560" s="306"/>
      <c r="F560" s="593"/>
    </row>
    <row r="561" spans="1:7">
      <c r="A561" s="302"/>
      <c r="B561" s="301" t="s">
        <v>441</v>
      </c>
      <c r="C561" s="306"/>
      <c r="D561" s="307"/>
      <c r="E561" s="306"/>
      <c r="F561" s="593"/>
    </row>
    <row r="562" spans="1:7">
      <c r="A562" s="305"/>
      <c r="B562" s="308" t="s">
        <v>442</v>
      </c>
      <c r="C562" s="306">
        <v>1</v>
      </c>
      <c r="D562" s="307" t="s">
        <v>443</v>
      </c>
      <c r="E562" s="306">
        <v>5000</v>
      </c>
      <c r="F562" s="593">
        <f>+C562*E562</f>
        <v>5000</v>
      </c>
    </row>
    <row r="563" spans="1:7">
      <c r="A563" s="302"/>
      <c r="B563" s="301"/>
      <c r="C563" s="303"/>
      <c r="D563" s="304"/>
      <c r="E563" s="303"/>
      <c r="F563" s="592"/>
    </row>
    <row r="564" spans="1:7">
      <c r="A564" s="302"/>
      <c r="B564" s="301"/>
      <c r="C564" s="303"/>
      <c r="D564" s="304"/>
      <c r="E564" s="303"/>
      <c r="F564" s="592"/>
    </row>
    <row r="565" spans="1:7" ht="18.75" thickBot="1">
      <c r="A565" s="310"/>
      <c r="B565" s="311" t="s">
        <v>444</v>
      </c>
      <c r="C565" s="312"/>
      <c r="D565" s="313"/>
      <c r="E565" s="314"/>
      <c r="F565" s="315">
        <f>SUM(F546:F562)</f>
        <v>199894.37</v>
      </c>
    </row>
    <row r="566" spans="1:7" ht="18.75" thickTop="1">
      <c r="A566" s="299"/>
      <c r="B566" s="300"/>
      <c r="C566" s="301"/>
      <c r="D566" s="301"/>
      <c r="E566" s="301"/>
      <c r="F566" s="591"/>
    </row>
    <row r="567" spans="1:7" ht="36">
      <c r="A567" s="299"/>
      <c r="B567" s="300" t="s">
        <v>451</v>
      </c>
      <c r="C567" s="301"/>
      <c r="D567" s="301"/>
      <c r="E567" s="301"/>
      <c r="F567" s="591"/>
    </row>
    <row r="568" spans="1:7">
      <c r="A568" s="299"/>
      <c r="B568" s="301"/>
      <c r="C568" s="301"/>
      <c r="D568" s="301"/>
      <c r="E568" s="301"/>
      <c r="F568" s="591"/>
    </row>
    <row r="569" spans="1:7">
      <c r="A569" s="302"/>
      <c r="B569" s="301" t="s">
        <v>328</v>
      </c>
      <c r="C569" s="303">
        <v>1</v>
      </c>
      <c r="D569" s="304" t="s">
        <v>359</v>
      </c>
      <c r="E569" s="303">
        <v>1000</v>
      </c>
      <c r="F569" s="592">
        <f>+C569*E569</f>
        <v>1000</v>
      </c>
    </row>
    <row r="570" spans="1:7">
      <c r="A570" s="302"/>
      <c r="B570" s="301"/>
      <c r="C570" s="303"/>
      <c r="D570" s="304"/>
      <c r="E570" s="303"/>
      <c r="F570" s="592"/>
    </row>
    <row r="571" spans="1:7">
      <c r="A571" s="302"/>
      <c r="B571" s="301" t="s">
        <v>432</v>
      </c>
      <c r="C571" s="303"/>
      <c r="D571" s="304"/>
      <c r="E571" s="303"/>
      <c r="F571" s="592"/>
    </row>
    <row r="572" spans="1:7">
      <c r="A572" s="305"/>
      <c r="B572" s="316" t="s">
        <v>433</v>
      </c>
      <c r="C572" s="306">
        <f>3*3*3.93</f>
        <v>35.369999999999997</v>
      </c>
      <c r="D572" s="307" t="s">
        <v>355</v>
      </c>
      <c r="E572" s="306">
        <f>+E549</f>
        <v>262.5</v>
      </c>
      <c r="F572" s="593">
        <f>+C572*E572</f>
        <v>9284.6299999999992</v>
      </c>
      <c r="G572" s="61">
        <f>3.93-0.4</f>
        <v>3.53</v>
      </c>
    </row>
    <row r="573" spans="1:7">
      <c r="A573" s="305"/>
      <c r="B573" s="308" t="s">
        <v>434</v>
      </c>
      <c r="C573" s="306">
        <f>+C572-(2.6*2.5*3.93)</f>
        <v>9.83</v>
      </c>
      <c r="D573" s="307" t="s">
        <v>355</v>
      </c>
      <c r="E573" s="306">
        <f t="shared" ref="E573:E579" si="52">+E550</f>
        <v>190.27</v>
      </c>
      <c r="F573" s="593">
        <f>+C573*E573</f>
        <v>1870.35</v>
      </c>
    </row>
    <row r="574" spans="1:7">
      <c r="A574" s="305"/>
      <c r="B574" s="308" t="s">
        <v>435</v>
      </c>
      <c r="C574" s="306">
        <f>+(C572-C573)*1.3</f>
        <v>33.200000000000003</v>
      </c>
      <c r="D574" s="307" t="s">
        <v>355</v>
      </c>
      <c r="E574" s="306">
        <f t="shared" si="52"/>
        <v>371.36</v>
      </c>
      <c r="F574" s="593">
        <f>+C574*E574</f>
        <v>12329.15</v>
      </c>
    </row>
    <row r="575" spans="1:7">
      <c r="A575" s="305"/>
      <c r="B575" s="308"/>
      <c r="C575" s="306" t="s">
        <v>108</v>
      </c>
      <c r="D575" s="307"/>
      <c r="E575" s="306"/>
      <c r="F575" s="593"/>
    </row>
    <row r="576" spans="1:7">
      <c r="A576" s="302"/>
      <c r="B576" s="301" t="s">
        <v>174</v>
      </c>
      <c r="C576" s="306"/>
      <c r="D576" s="307"/>
      <c r="E576" s="306"/>
      <c r="F576" s="593"/>
    </row>
    <row r="577" spans="1:6">
      <c r="A577" s="305"/>
      <c r="B577" s="308" t="s">
        <v>436</v>
      </c>
      <c r="C577" s="306">
        <f>2.6*2.5*0.25</f>
        <v>1.63</v>
      </c>
      <c r="D577" s="307" t="s">
        <v>355</v>
      </c>
      <c r="E577" s="306">
        <f t="shared" si="52"/>
        <v>21459.07</v>
      </c>
      <c r="F577" s="593">
        <f>+C577*E577</f>
        <v>34978.28</v>
      </c>
    </row>
    <row r="578" spans="1:6">
      <c r="A578" s="305"/>
      <c r="B578" s="308" t="s">
        <v>437</v>
      </c>
      <c r="C578" s="306">
        <f>+((2.6*3.53*0.25)*2+(2*3.53*0.25)*2)-((3.14*0.8)*0.25)*2</f>
        <v>6.86</v>
      </c>
      <c r="D578" s="307" t="s">
        <v>355</v>
      </c>
      <c r="E578" s="306">
        <f t="shared" si="52"/>
        <v>21352.62</v>
      </c>
      <c r="F578" s="593">
        <f>+C578*E578</f>
        <v>146478.97</v>
      </c>
    </row>
    <row r="579" spans="1:6">
      <c r="A579" s="305"/>
      <c r="B579" s="308" t="s">
        <v>452</v>
      </c>
      <c r="C579" s="306">
        <f>(2.6*2.5*0.15)-((3.14*0.36)*0.25)</f>
        <v>0.69</v>
      </c>
      <c r="D579" s="307" t="s">
        <v>355</v>
      </c>
      <c r="E579" s="306">
        <f t="shared" si="52"/>
        <v>36573.57</v>
      </c>
      <c r="F579" s="593">
        <f>+C579*E579</f>
        <v>25235.759999999998</v>
      </c>
    </row>
    <row r="580" spans="1:6">
      <c r="A580" s="305"/>
      <c r="B580" s="308"/>
      <c r="C580" s="306"/>
      <c r="D580" s="307"/>
      <c r="E580" s="306"/>
      <c r="F580" s="593"/>
    </row>
    <row r="581" spans="1:6">
      <c r="A581" s="302"/>
      <c r="B581" s="301" t="s">
        <v>439</v>
      </c>
      <c r="C581" s="306"/>
      <c r="D581" s="307"/>
      <c r="E581" s="306"/>
      <c r="F581" s="593"/>
    </row>
    <row r="582" spans="1:6">
      <c r="A582" s="305"/>
      <c r="B582" s="308" t="s">
        <v>440</v>
      </c>
      <c r="C582" s="306">
        <f>2.6*2.5</f>
        <v>6.5</v>
      </c>
      <c r="D582" s="307" t="s">
        <v>381</v>
      </c>
      <c r="E582" s="306">
        <f>+E559</f>
        <v>425</v>
      </c>
      <c r="F582" s="593">
        <f>+C582*E582</f>
        <v>2762.5</v>
      </c>
    </row>
    <row r="583" spans="1:6">
      <c r="A583" s="305"/>
      <c r="B583" s="308"/>
      <c r="C583" s="306"/>
      <c r="D583" s="307"/>
      <c r="E583" s="306"/>
      <c r="F583" s="593"/>
    </row>
    <row r="584" spans="1:6">
      <c r="A584" s="302"/>
      <c r="B584" s="301" t="s">
        <v>441</v>
      </c>
      <c r="C584" s="306"/>
      <c r="D584" s="307"/>
      <c r="E584" s="306"/>
      <c r="F584" s="593"/>
    </row>
    <row r="585" spans="1:6">
      <c r="A585" s="305"/>
      <c r="B585" s="308" t="s">
        <v>442</v>
      </c>
      <c r="C585" s="306">
        <v>1</v>
      </c>
      <c r="D585" s="307" t="s">
        <v>443</v>
      </c>
      <c r="E585" s="306">
        <v>5000</v>
      </c>
      <c r="F585" s="593">
        <f>+C585*E585</f>
        <v>5000</v>
      </c>
    </row>
    <row r="586" spans="1:6">
      <c r="A586" s="302"/>
      <c r="B586" s="301"/>
      <c r="C586" s="303"/>
      <c r="D586" s="304"/>
      <c r="E586" s="303"/>
      <c r="F586" s="592"/>
    </row>
    <row r="587" spans="1:6">
      <c r="A587" s="302"/>
      <c r="B587" s="301"/>
      <c r="C587" s="303"/>
      <c r="D587" s="304"/>
      <c r="E587" s="303"/>
      <c r="F587" s="592"/>
    </row>
    <row r="588" spans="1:6" ht="18.75" thickBot="1">
      <c r="A588" s="310"/>
      <c r="B588" s="311" t="s">
        <v>444</v>
      </c>
      <c r="C588" s="312"/>
      <c r="D588" s="313"/>
      <c r="E588" s="314"/>
      <c r="F588" s="315">
        <f>SUM(F569:F585)</f>
        <v>238939.64</v>
      </c>
    </row>
    <row r="589" spans="1:6" ht="18.75" thickTop="1">
      <c r="A589" s="299"/>
      <c r="B589" s="300"/>
      <c r="C589" s="301"/>
      <c r="D589" s="301"/>
      <c r="E589" s="301"/>
      <c r="F589" s="591"/>
    </row>
    <row r="590" spans="1:6">
      <c r="A590" s="299"/>
      <c r="B590" s="300" t="s">
        <v>453</v>
      </c>
      <c r="C590" s="301"/>
      <c r="D590" s="301"/>
      <c r="E590" s="301"/>
      <c r="F590" s="591"/>
    </row>
    <row r="591" spans="1:6">
      <c r="A591" s="299"/>
      <c r="B591" s="301"/>
      <c r="C591" s="301"/>
      <c r="D591" s="301"/>
      <c r="E591" s="301"/>
      <c r="F591" s="591"/>
    </row>
    <row r="592" spans="1:6">
      <c r="A592" s="302"/>
      <c r="B592" s="301" t="s">
        <v>328</v>
      </c>
      <c r="C592" s="303">
        <v>1</v>
      </c>
      <c r="D592" s="304" t="s">
        <v>359</v>
      </c>
      <c r="E592" s="303">
        <v>1000</v>
      </c>
      <c r="F592" s="592">
        <f>+C592*E592</f>
        <v>1000</v>
      </c>
    </row>
    <row r="593" spans="1:6">
      <c r="A593" s="302"/>
      <c r="B593" s="301"/>
      <c r="C593" s="303"/>
      <c r="D593" s="304"/>
      <c r="E593" s="303"/>
      <c r="F593" s="592"/>
    </row>
    <row r="594" spans="1:6">
      <c r="A594" s="302"/>
      <c r="B594" s="301" t="s">
        <v>432</v>
      </c>
      <c r="C594" s="303"/>
      <c r="D594" s="304"/>
      <c r="E594" s="303"/>
      <c r="F594" s="592"/>
    </row>
    <row r="595" spans="1:6">
      <c r="A595" s="305"/>
      <c r="B595" s="316" t="s">
        <v>433</v>
      </c>
      <c r="C595" s="306">
        <f>3*3*3.78</f>
        <v>34.020000000000003</v>
      </c>
      <c r="D595" s="307" t="s">
        <v>355</v>
      </c>
      <c r="E595" s="306">
        <f>+E572</f>
        <v>262.5</v>
      </c>
      <c r="F595" s="593">
        <f>+C595*E595</f>
        <v>8930.25</v>
      </c>
    </row>
    <row r="596" spans="1:6">
      <c r="A596" s="305"/>
      <c r="B596" s="308" t="s">
        <v>434</v>
      </c>
      <c r="C596" s="306">
        <f>+C595-(2.6*2.5*4)</f>
        <v>8.02</v>
      </c>
      <c r="D596" s="307" t="s">
        <v>355</v>
      </c>
      <c r="E596" s="306">
        <f t="shared" ref="E596:E602" si="53">+E573</f>
        <v>190.27</v>
      </c>
      <c r="F596" s="593">
        <f>+C596*E596</f>
        <v>1525.97</v>
      </c>
    </row>
    <row r="597" spans="1:6">
      <c r="A597" s="305"/>
      <c r="B597" s="308" t="s">
        <v>435</v>
      </c>
      <c r="C597" s="306">
        <f>+(C595-C596)*1.3</f>
        <v>33.799999999999997</v>
      </c>
      <c r="D597" s="307" t="s">
        <v>355</v>
      </c>
      <c r="E597" s="306">
        <f t="shared" si="53"/>
        <v>371.36</v>
      </c>
      <c r="F597" s="593">
        <f>+C597*E597</f>
        <v>12551.97</v>
      </c>
    </row>
    <row r="598" spans="1:6">
      <c r="A598" s="305"/>
      <c r="B598" s="308"/>
      <c r="C598" s="306" t="s">
        <v>108</v>
      </c>
      <c r="D598" s="307"/>
      <c r="E598" s="306"/>
      <c r="F598" s="593"/>
    </row>
    <row r="599" spans="1:6">
      <c r="A599" s="302"/>
      <c r="B599" s="301" t="s">
        <v>174</v>
      </c>
      <c r="C599" s="306"/>
      <c r="D599" s="307"/>
      <c r="E599" s="306"/>
      <c r="F599" s="593"/>
    </row>
    <row r="600" spans="1:6">
      <c r="A600" s="305"/>
      <c r="B600" s="308" t="s">
        <v>436</v>
      </c>
      <c r="C600" s="306">
        <f>2.6*2.5*0.25</f>
        <v>1.63</v>
      </c>
      <c r="D600" s="307" t="s">
        <v>355</v>
      </c>
      <c r="E600" s="306">
        <f t="shared" si="53"/>
        <v>21459.07</v>
      </c>
      <c r="F600" s="593">
        <f>+C600*E600</f>
        <v>34978.28</v>
      </c>
    </row>
    <row r="601" spans="1:6">
      <c r="A601" s="305"/>
      <c r="B601" s="308" t="s">
        <v>437</v>
      </c>
      <c r="C601" s="306">
        <f>+((2.6*3.78*0.25)*2+(2*3.78*0.25)*2)-((3.14*0.84)*0.25)*2</f>
        <v>7.38</v>
      </c>
      <c r="D601" s="307" t="s">
        <v>355</v>
      </c>
      <c r="E601" s="306">
        <f t="shared" si="53"/>
        <v>21352.62</v>
      </c>
      <c r="F601" s="593">
        <f>+C601*E601</f>
        <v>157582.34</v>
      </c>
    </row>
    <row r="602" spans="1:6">
      <c r="A602" s="305"/>
      <c r="B602" s="308" t="s">
        <v>452</v>
      </c>
      <c r="C602" s="306">
        <f>(2.6*2.5*0.15)-((3.14*0.36)*0.25)</f>
        <v>0.69</v>
      </c>
      <c r="D602" s="307" t="s">
        <v>355</v>
      </c>
      <c r="E602" s="306">
        <f t="shared" si="53"/>
        <v>36573.57</v>
      </c>
      <c r="F602" s="593">
        <f>+C602*E602</f>
        <v>25235.759999999998</v>
      </c>
    </row>
    <row r="603" spans="1:6">
      <c r="A603" s="305"/>
      <c r="B603" s="308"/>
      <c r="C603" s="306"/>
      <c r="D603" s="307"/>
      <c r="E603" s="306"/>
      <c r="F603" s="593"/>
    </row>
    <row r="604" spans="1:6">
      <c r="A604" s="302"/>
      <c r="B604" s="301" t="s">
        <v>439</v>
      </c>
      <c r="C604" s="306"/>
      <c r="D604" s="307"/>
      <c r="E604" s="306"/>
      <c r="F604" s="593"/>
    </row>
    <row r="605" spans="1:6">
      <c r="A605" s="305"/>
      <c r="B605" s="308" t="s">
        <v>440</v>
      </c>
      <c r="C605" s="306">
        <f>2.6*2.5</f>
        <v>6.5</v>
      </c>
      <c r="D605" s="307" t="s">
        <v>381</v>
      </c>
      <c r="E605" s="306">
        <f>+E582</f>
        <v>425</v>
      </c>
      <c r="F605" s="593">
        <f>+C605*E605</f>
        <v>2762.5</v>
      </c>
    </row>
    <row r="606" spans="1:6">
      <c r="A606" s="305"/>
      <c r="B606" s="308"/>
      <c r="C606" s="306"/>
      <c r="D606" s="307"/>
      <c r="E606" s="306"/>
      <c r="F606" s="593"/>
    </row>
    <row r="607" spans="1:6">
      <c r="A607" s="302"/>
      <c r="B607" s="301" t="s">
        <v>441</v>
      </c>
      <c r="C607" s="306"/>
      <c r="D607" s="307"/>
      <c r="E607" s="306"/>
      <c r="F607" s="593"/>
    </row>
    <row r="608" spans="1:6">
      <c r="A608" s="305"/>
      <c r="B608" s="308" t="s">
        <v>442</v>
      </c>
      <c r="C608" s="306">
        <v>1</v>
      </c>
      <c r="D608" s="307" t="s">
        <v>443</v>
      </c>
      <c r="E608" s="306">
        <v>5000</v>
      </c>
      <c r="F608" s="593">
        <f>+C608*E608</f>
        <v>5000</v>
      </c>
    </row>
    <row r="609" spans="1:6">
      <c r="A609" s="302"/>
      <c r="B609" s="301"/>
      <c r="C609" s="303"/>
      <c r="D609" s="304"/>
      <c r="E609" s="303"/>
      <c r="F609" s="592"/>
    </row>
    <row r="610" spans="1:6">
      <c r="A610" s="302"/>
      <c r="B610" s="301"/>
      <c r="C610" s="303"/>
      <c r="D610" s="304"/>
      <c r="E610" s="303"/>
      <c r="F610" s="592"/>
    </row>
    <row r="611" spans="1:6" ht="18.75" thickBot="1">
      <c r="A611" s="310"/>
      <c r="B611" s="311" t="s">
        <v>444</v>
      </c>
      <c r="C611" s="312"/>
      <c r="D611" s="313"/>
      <c r="E611" s="314"/>
      <c r="F611" s="315">
        <f>SUM(F592:F608)</f>
        <v>249567.07</v>
      </c>
    </row>
    <row r="612" spans="1:6" ht="18.75" thickTop="1">
      <c r="A612" s="299"/>
      <c r="B612" s="300"/>
      <c r="C612" s="301"/>
      <c r="D612" s="301"/>
      <c r="E612" s="301"/>
      <c r="F612" s="591"/>
    </row>
    <row r="613" spans="1:6">
      <c r="A613" s="299"/>
      <c r="B613" s="300" t="s">
        <v>454</v>
      </c>
      <c r="C613" s="301"/>
      <c r="D613" s="301"/>
      <c r="E613" s="301"/>
      <c r="F613" s="591"/>
    </row>
    <row r="614" spans="1:6">
      <c r="A614" s="299"/>
      <c r="B614" s="301"/>
      <c r="C614" s="301"/>
      <c r="D614" s="301"/>
      <c r="E614" s="301"/>
      <c r="F614" s="591"/>
    </row>
    <row r="615" spans="1:6">
      <c r="A615" s="302"/>
      <c r="B615" s="301" t="s">
        <v>328</v>
      </c>
      <c r="C615" s="303">
        <v>1</v>
      </c>
      <c r="D615" s="304" t="s">
        <v>359</v>
      </c>
      <c r="E615" s="303">
        <v>1000</v>
      </c>
      <c r="F615" s="592">
        <f>+C615*E615</f>
        <v>1000</v>
      </c>
    </row>
    <row r="616" spans="1:6">
      <c r="A616" s="302"/>
      <c r="B616" s="301"/>
      <c r="C616" s="303"/>
      <c r="D616" s="304"/>
      <c r="E616" s="303"/>
      <c r="F616" s="592"/>
    </row>
    <row r="617" spans="1:6">
      <c r="A617" s="302"/>
      <c r="B617" s="301" t="s">
        <v>432</v>
      </c>
      <c r="C617" s="303"/>
      <c r="D617" s="304"/>
      <c r="E617" s="303"/>
      <c r="F617" s="592"/>
    </row>
    <row r="618" spans="1:6">
      <c r="A618" s="305"/>
      <c r="B618" s="316" t="s">
        <v>433</v>
      </c>
      <c r="C618" s="306">
        <f>3*3*2.76</f>
        <v>24.84</v>
      </c>
      <c r="D618" s="307" t="s">
        <v>355</v>
      </c>
      <c r="E618" s="306">
        <f>+E411</f>
        <v>262.5</v>
      </c>
      <c r="F618" s="593">
        <f>+C618*E618</f>
        <v>6520.5</v>
      </c>
    </row>
    <row r="619" spans="1:6">
      <c r="A619" s="305"/>
      <c r="B619" s="308" t="s">
        <v>434</v>
      </c>
      <c r="C619" s="306">
        <f>+C618-(2.5*2.5*2.76)</f>
        <v>7.59</v>
      </c>
      <c r="D619" s="307" t="s">
        <v>355</v>
      </c>
      <c r="E619" s="306">
        <f>+E412</f>
        <v>190.27</v>
      </c>
      <c r="F619" s="593">
        <f>+C619*E619</f>
        <v>1444.15</v>
      </c>
    </row>
    <row r="620" spans="1:6">
      <c r="A620" s="305"/>
      <c r="B620" s="308" t="s">
        <v>435</v>
      </c>
      <c r="C620" s="306">
        <f>+(C618-C619)*1.3</f>
        <v>22.43</v>
      </c>
      <c r="D620" s="307" t="s">
        <v>355</v>
      </c>
      <c r="E620" s="306">
        <f>+E413</f>
        <v>371.36</v>
      </c>
      <c r="F620" s="593">
        <f>+C620*E620</f>
        <v>8329.6</v>
      </c>
    </row>
    <row r="621" spans="1:6">
      <c r="A621" s="305"/>
      <c r="B621" s="308"/>
      <c r="C621" s="306" t="s">
        <v>108</v>
      </c>
      <c r="D621" s="307"/>
      <c r="E621" s="306"/>
      <c r="F621" s="593"/>
    </row>
    <row r="622" spans="1:6">
      <c r="A622" s="302"/>
      <c r="B622" s="301" t="s">
        <v>174</v>
      </c>
      <c r="C622" s="306"/>
      <c r="D622" s="307"/>
      <c r="E622" s="306"/>
      <c r="F622" s="593"/>
    </row>
    <row r="623" spans="1:6">
      <c r="A623" s="305"/>
      <c r="B623" s="308" t="s">
        <v>436</v>
      </c>
      <c r="C623" s="306">
        <f>2.5*2.5*0.25</f>
        <v>1.56</v>
      </c>
      <c r="D623" s="307" t="s">
        <v>355</v>
      </c>
      <c r="E623" s="309">
        <f>+E416</f>
        <v>21459.07</v>
      </c>
      <c r="F623" s="593">
        <f>+C623*E623</f>
        <v>33476.15</v>
      </c>
    </row>
    <row r="624" spans="1:6">
      <c r="A624" s="305"/>
      <c r="B624" s="308" t="s">
        <v>437</v>
      </c>
      <c r="C624" s="306">
        <f>+((2.5*2.36*0.25)*2+(2*2.36*0.25)*2)-((3.14*0.36)*0.25)*2</f>
        <v>4.74</v>
      </c>
      <c r="D624" s="307" t="s">
        <v>355</v>
      </c>
      <c r="E624" s="309">
        <f>+E417</f>
        <v>21352.62</v>
      </c>
      <c r="F624" s="593">
        <f>+C624*E624</f>
        <v>101211.42</v>
      </c>
    </row>
    <row r="625" spans="1:6">
      <c r="A625" s="305"/>
      <c r="B625" s="308" t="s">
        <v>452</v>
      </c>
      <c r="C625" s="306">
        <f>(2.5*2.5*0.15)-((3.14*0.36)*0.25)</f>
        <v>0.65</v>
      </c>
      <c r="D625" s="307" t="s">
        <v>355</v>
      </c>
      <c r="E625" s="309">
        <f>+E418</f>
        <v>36573.57</v>
      </c>
      <c r="F625" s="593">
        <f>+C625*E625</f>
        <v>23772.82</v>
      </c>
    </row>
    <row r="626" spans="1:6">
      <c r="A626" s="305"/>
      <c r="B626" s="308"/>
      <c r="C626" s="306"/>
      <c r="D626" s="307"/>
      <c r="E626" s="309"/>
      <c r="F626" s="593"/>
    </row>
    <row r="627" spans="1:6">
      <c r="A627" s="302"/>
      <c r="B627" s="301" t="s">
        <v>439</v>
      </c>
      <c r="C627" s="306"/>
      <c r="D627" s="307"/>
      <c r="E627" s="309"/>
      <c r="F627" s="593"/>
    </row>
    <row r="628" spans="1:6">
      <c r="A628" s="305"/>
      <c r="B628" s="308" t="s">
        <v>440</v>
      </c>
      <c r="C628" s="306">
        <f>2.5*2.5</f>
        <v>6.25</v>
      </c>
      <c r="D628" s="307" t="s">
        <v>381</v>
      </c>
      <c r="E628" s="309">
        <f>+E421</f>
        <v>425</v>
      </c>
      <c r="F628" s="593">
        <f>+C628*E628</f>
        <v>2656.25</v>
      </c>
    </row>
    <row r="629" spans="1:6">
      <c r="A629" s="305"/>
      <c r="B629" s="308"/>
      <c r="C629" s="306"/>
      <c r="D629" s="307"/>
      <c r="E629" s="309"/>
      <c r="F629" s="593"/>
    </row>
    <row r="630" spans="1:6">
      <c r="A630" s="302"/>
      <c r="B630" s="301" t="s">
        <v>441</v>
      </c>
      <c r="C630" s="306"/>
      <c r="D630" s="307"/>
      <c r="E630" s="309"/>
      <c r="F630" s="593"/>
    </row>
    <row r="631" spans="1:6">
      <c r="A631" s="305"/>
      <c r="B631" s="308" t="s">
        <v>442</v>
      </c>
      <c r="C631" s="306">
        <v>1</v>
      </c>
      <c r="D631" s="307" t="s">
        <v>443</v>
      </c>
      <c r="E631" s="309">
        <f>+E424</f>
        <v>4000</v>
      </c>
      <c r="F631" s="593">
        <f>+C631*E631</f>
        <v>4000</v>
      </c>
    </row>
    <row r="632" spans="1:6">
      <c r="A632" s="302"/>
      <c r="B632" s="301"/>
      <c r="C632" s="303"/>
      <c r="D632" s="304"/>
      <c r="E632" s="303"/>
      <c r="F632" s="592"/>
    </row>
    <row r="633" spans="1:6">
      <c r="A633" s="302"/>
      <c r="B633" s="301"/>
      <c r="C633" s="303"/>
      <c r="D633" s="304"/>
      <c r="E633" s="303"/>
      <c r="F633" s="592"/>
    </row>
    <row r="634" spans="1:6" ht="18.75" thickBot="1">
      <c r="A634" s="310"/>
      <c r="B634" s="311" t="s">
        <v>444</v>
      </c>
      <c r="C634" s="312"/>
      <c r="D634" s="313"/>
      <c r="E634" s="314"/>
      <c r="F634" s="315">
        <f>SUM(F615:F631)</f>
        <v>182410.89</v>
      </c>
    </row>
    <row r="635" spans="1:6" ht="18.75" thickTop="1">
      <c r="A635" s="299"/>
      <c r="B635" s="300"/>
      <c r="C635" s="301"/>
      <c r="D635" s="301"/>
      <c r="E635" s="301"/>
      <c r="F635" s="591"/>
    </row>
    <row r="636" spans="1:6">
      <c r="A636" s="299"/>
      <c r="B636" s="300" t="s">
        <v>455</v>
      </c>
      <c r="C636" s="301"/>
      <c r="D636" s="301"/>
      <c r="E636" s="301"/>
      <c r="F636" s="591"/>
    </row>
    <row r="637" spans="1:6">
      <c r="A637" s="299"/>
      <c r="B637" s="301"/>
      <c r="C637" s="301"/>
      <c r="D637" s="301"/>
      <c r="E637" s="301"/>
      <c r="F637" s="591"/>
    </row>
    <row r="638" spans="1:6">
      <c r="A638" s="302"/>
      <c r="B638" s="301" t="s">
        <v>328</v>
      </c>
      <c r="C638" s="303">
        <v>1</v>
      </c>
      <c r="D638" s="304" t="s">
        <v>359</v>
      </c>
      <c r="E638" s="303">
        <v>1000</v>
      </c>
      <c r="F638" s="592">
        <f>+C638*E638</f>
        <v>1000</v>
      </c>
    </row>
    <row r="639" spans="1:6">
      <c r="A639" s="302"/>
      <c r="B639" s="301"/>
      <c r="C639" s="303"/>
      <c r="D639" s="304"/>
      <c r="E639" s="303"/>
      <c r="F639" s="592"/>
    </row>
    <row r="640" spans="1:6">
      <c r="A640" s="302"/>
      <c r="B640" s="301" t="s">
        <v>432</v>
      </c>
      <c r="C640" s="303"/>
      <c r="D640" s="304"/>
      <c r="E640" s="303"/>
      <c r="F640" s="592"/>
    </row>
    <row r="641" spans="1:6">
      <c r="A641" s="305"/>
      <c r="B641" s="316" t="s">
        <v>433</v>
      </c>
      <c r="C641" s="306">
        <f>3*3*3.22</f>
        <v>28.98</v>
      </c>
      <c r="D641" s="307" t="s">
        <v>355</v>
      </c>
      <c r="E641" s="306">
        <f>+E618</f>
        <v>262.5</v>
      </c>
      <c r="F641" s="593">
        <f>+C641*E641</f>
        <v>7607.25</v>
      </c>
    </row>
    <row r="642" spans="1:6">
      <c r="A642" s="305"/>
      <c r="B642" s="308" t="s">
        <v>434</v>
      </c>
      <c r="C642" s="306">
        <f>+C641-(2.5*2.5*3.12)</f>
        <v>9.48</v>
      </c>
      <c r="D642" s="307" t="s">
        <v>355</v>
      </c>
      <c r="E642" s="306">
        <f t="shared" ref="E642:E643" si="54">+E619</f>
        <v>190.27</v>
      </c>
      <c r="F642" s="593">
        <f>+C642*E642</f>
        <v>1803.76</v>
      </c>
    </row>
    <row r="643" spans="1:6">
      <c r="A643" s="305"/>
      <c r="B643" s="308" t="s">
        <v>435</v>
      </c>
      <c r="C643" s="306">
        <f>+(C641-C642)*1.3</f>
        <v>25.35</v>
      </c>
      <c r="D643" s="307" t="s">
        <v>355</v>
      </c>
      <c r="E643" s="306">
        <f t="shared" si="54"/>
        <v>371.36</v>
      </c>
      <c r="F643" s="593">
        <f>+C643*E643</f>
        <v>9413.98</v>
      </c>
    </row>
    <row r="644" spans="1:6">
      <c r="A644" s="305"/>
      <c r="B644" s="308"/>
      <c r="C644" s="306" t="s">
        <v>108</v>
      </c>
      <c r="D644" s="307"/>
      <c r="E644" s="306"/>
      <c r="F644" s="593"/>
    </row>
    <row r="645" spans="1:6">
      <c r="A645" s="302"/>
      <c r="B645" s="301" t="s">
        <v>174</v>
      </c>
      <c r="C645" s="306"/>
      <c r="D645" s="307"/>
      <c r="E645" s="306"/>
      <c r="F645" s="593"/>
    </row>
    <row r="646" spans="1:6">
      <c r="A646" s="305"/>
      <c r="B646" s="308" t="s">
        <v>436</v>
      </c>
      <c r="C646" s="306">
        <f>2.5*2.5*0.25</f>
        <v>1.56</v>
      </c>
      <c r="D646" s="307" t="s">
        <v>355</v>
      </c>
      <c r="E646" s="309">
        <f>+E623</f>
        <v>21459.07</v>
      </c>
      <c r="F646" s="593">
        <f>+C646*E646</f>
        <v>33476.15</v>
      </c>
    </row>
    <row r="647" spans="1:6">
      <c r="A647" s="305"/>
      <c r="B647" s="308" t="s">
        <v>437</v>
      </c>
      <c r="C647" s="306">
        <f>+((2.5*2.72*0.25)*2+(2*2.72*0.25)*2)-((3.14*0.36)*0.25)*2</f>
        <v>5.55</v>
      </c>
      <c r="D647" s="307" t="s">
        <v>355</v>
      </c>
      <c r="E647" s="309">
        <f t="shared" ref="E647:E654" si="55">+E624</f>
        <v>21352.62</v>
      </c>
      <c r="F647" s="593">
        <f>+C647*E647</f>
        <v>118507.04</v>
      </c>
    </row>
    <row r="648" spans="1:6">
      <c r="A648" s="305"/>
      <c r="B648" s="308" t="s">
        <v>452</v>
      </c>
      <c r="C648" s="306">
        <f>(2.5*2.5*0.15)-((3.14*0.36)*0.25)</f>
        <v>0.65</v>
      </c>
      <c r="D648" s="307" t="s">
        <v>355</v>
      </c>
      <c r="E648" s="309">
        <f t="shared" si="55"/>
        <v>36573.57</v>
      </c>
      <c r="F648" s="593">
        <f>+C648*E648</f>
        <v>23772.82</v>
      </c>
    </row>
    <row r="649" spans="1:6">
      <c r="A649" s="305"/>
      <c r="B649" s="308"/>
      <c r="C649" s="306"/>
      <c r="D649" s="307"/>
      <c r="E649" s="309"/>
      <c r="F649" s="593"/>
    </row>
    <row r="650" spans="1:6">
      <c r="A650" s="302"/>
      <c r="B650" s="301" t="s">
        <v>439</v>
      </c>
      <c r="C650" s="306"/>
      <c r="D650" s="307"/>
      <c r="E650" s="309"/>
      <c r="F650" s="593"/>
    </row>
    <row r="651" spans="1:6">
      <c r="A651" s="305"/>
      <c r="B651" s="308" t="s">
        <v>440</v>
      </c>
      <c r="C651" s="306">
        <f>2.5*2.5</f>
        <v>6.25</v>
      </c>
      <c r="D651" s="307" t="s">
        <v>381</v>
      </c>
      <c r="E651" s="309">
        <f t="shared" si="55"/>
        <v>425</v>
      </c>
      <c r="F651" s="593">
        <f>+C651*E651</f>
        <v>2656.25</v>
      </c>
    </row>
    <row r="652" spans="1:6">
      <c r="A652" s="305"/>
      <c r="B652" s="308"/>
      <c r="C652" s="306"/>
      <c r="D652" s="307"/>
      <c r="E652" s="309"/>
      <c r="F652" s="593"/>
    </row>
    <row r="653" spans="1:6">
      <c r="A653" s="302"/>
      <c r="B653" s="301" t="s">
        <v>441</v>
      </c>
      <c r="C653" s="306"/>
      <c r="D653" s="307"/>
      <c r="E653" s="309"/>
      <c r="F653" s="593"/>
    </row>
    <row r="654" spans="1:6">
      <c r="A654" s="305"/>
      <c r="B654" s="308" t="s">
        <v>442</v>
      </c>
      <c r="C654" s="306">
        <v>1</v>
      </c>
      <c r="D654" s="307" t="s">
        <v>443</v>
      </c>
      <c r="E654" s="309">
        <f t="shared" si="55"/>
        <v>4000</v>
      </c>
      <c r="F654" s="593">
        <f>+C654*E654</f>
        <v>4000</v>
      </c>
    </row>
    <row r="655" spans="1:6">
      <c r="A655" s="302"/>
      <c r="B655" s="301"/>
      <c r="C655" s="303"/>
      <c r="D655" s="304"/>
      <c r="E655" s="303"/>
      <c r="F655" s="592"/>
    </row>
    <row r="656" spans="1:6">
      <c r="A656" s="302"/>
      <c r="B656" s="301"/>
      <c r="C656" s="303"/>
      <c r="D656" s="304"/>
      <c r="E656" s="303"/>
      <c r="F656" s="592"/>
    </row>
    <row r="657" spans="1:6" ht="18.75" thickBot="1">
      <c r="A657" s="310"/>
      <c r="B657" s="311" t="s">
        <v>444</v>
      </c>
      <c r="C657" s="312"/>
      <c r="D657" s="313"/>
      <c r="E657" s="314"/>
      <c r="F657" s="315">
        <f>SUM(F638:F654)</f>
        <v>202237.25</v>
      </c>
    </row>
    <row r="658" spans="1:6" ht="18.75" thickTop="1">
      <c r="A658" s="299"/>
      <c r="B658" s="300"/>
      <c r="C658" s="301"/>
      <c r="D658" s="301"/>
      <c r="E658" s="301"/>
      <c r="F658" s="591"/>
    </row>
    <row r="659" spans="1:6">
      <c r="A659" s="299"/>
      <c r="B659" s="300" t="s">
        <v>456</v>
      </c>
      <c r="C659" s="301"/>
      <c r="D659" s="301"/>
      <c r="E659" s="301"/>
      <c r="F659" s="591"/>
    </row>
    <row r="660" spans="1:6">
      <c r="A660" s="299"/>
      <c r="B660" s="301"/>
      <c r="C660" s="301"/>
      <c r="D660" s="301"/>
      <c r="E660" s="301"/>
      <c r="F660" s="591"/>
    </row>
    <row r="661" spans="1:6">
      <c r="A661" s="302"/>
      <c r="B661" s="301" t="s">
        <v>328</v>
      </c>
      <c r="C661" s="303">
        <v>1</v>
      </c>
      <c r="D661" s="304" t="s">
        <v>359</v>
      </c>
      <c r="E661" s="303">
        <v>1000</v>
      </c>
      <c r="F661" s="592">
        <f>+C661*E661</f>
        <v>1000</v>
      </c>
    </row>
    <row r="662" spans="1:6">
      <c r="A662" s="302"/>
      <c r="B662" s="301"/>
      <c r="C662" s="303"/>
      <c r="D662" s="304"/>
      <c r="E662" s="303"/>
      <c r="F662" s="592"/>
    </row>
    <row r="663" spans="1:6">
      <c r="A663" s="302"/>
      <c r="B663" s="301" t="s">
        <v>432</v>
      </c>
      <c r="C663" s="303"/>
      <c r="D663" s="304"/>
      <c r="E663" s="303"/>
      <c r="F663" s="592"/>
    </row>
    <row r="664" spans="1:6">
      <c r="A664" s="305"/>
      <c r="B664" s="316" t="s">
        <v>433</v>
      </c>
      <c r="C664" s="306">
        <f>3*3*2.72</f>
        <v>24.48</v>
      </c>
      <c r="D664" s="307" t="s">
        <v>355</v>
      </c>
      <c r="E664" s="306">
        <f>+E641</f>
        <v>262.5</v>
      </c>
      <c r="F664" s="593">
        <f>+C664*E664</f>
        <v>6426</v>
      </c>
    </row>
    <row r="665" spans="1:6">
      <c r="A665" s="305"/>
      <c r="B665" s="308" t="s">
        <v>434</v>
      </c>
      <c r="C665" s="306">
        <f>+C664-(2.5*2.5*2.62)</f>
        <v>8.11</v>
      </c>
      <c r="D665" s="307" t="s">
        <v>355</v>
      </c>
      <c r="E665" s="306">
        <f t="shared" ref="E665:E666" si="56">+E642</f>
        <v>190.27</v>
      </c>
      <c r="F665" s="593">
        <f>+C665*E665</f>
        <v>1543.09</v>
      </c>
    </row>
    <row r="666" spans="1:6">
      <c r="A666" s="305"/>
      <c r="B666" s="308" t="s">
        <v>435</v>
      </c>
      <c r="C666" s="306">
        <f>+(C664-C665)*1.3</f>
        <v>21.28</v>
      </c>
      <c r="D666" s="307" t="s">
        <v>355</v>
      </c>
      <c r="E666" s="306">
        <f t="shared" si="56"/>
        <v>371.36</v>
      </c>
      <c r="F666" s="593">
        <f>+C666*E666</f>
        <v>7902.54</v>
      </c>
    </row>
    <row r="667" spans="1:6">
      <c r="A667" s="305"/>
      <c r="B667" s="308"/>
      <c r="C667" s="306" t="s">
        <v>108</v>
      </c>
      <c r="D667" s="307"/>
      <c r="E667" s="306"/>
      <c r="F667" s="593"/>
    </row>
    <row r="668" spans="1:6">
      <c r="A668" s="302"/>
      <c r="B668" s="301" t="s">
        <v>174</v>
      </c>
      <c r="C668" s="306"/>
      <c r="D668" s="307"/>
      <c r="E668" s="306"/>
      <c r="F668" s="593"/>
    </row>
    <row r="669" spans="1:6">
      <c r="A669" s="305"/>
      <c r="B669" s="308" t="s">
        <v>436</v>
      </c>
      <c r="C669" s="306">
        <f>2.5*2.5*0.25</f>
        <v>1.56</v>
      </c>
      <c r="D669" s="307" t="s">
        <v>355</v>
      </c>
      <c r="E669" s="309">
        <f>+E646</f>
        <v>21459.07</v>
      </c>
      <c r="F669" s="593">
        <f>+C669*E669</f>
        <v>33476.15</v>
      </c>
    </row>
    <row r="670" spans="1:6">
      <c r="A670" s="305"/>
      <c r="B670" s="308" t="s">
        <v>437</v>
      </c>
      <c r="C670" s="306">
        <f>+((2.5*2.22*0.25)*2+(2*2.22*0.25)*2)-((3.14*0.36)*0.25)*2</f>
        <v>4.43</v>
      </c>
      <c r="D670" s="307" t="s">
        <v>355</v>
      </c>
      <c r="E670" s="309">
        <f t="shared" ref="E670:E677" si="57">+E647</f>
        <v>21352.62</v>
      </c>
      <c r="F670" s="593">
        <f>+C670*E670</f>
        <v>94592.11</v>
      </c>
    </row>
    <row r="671" spans="1:6">
      <c r="A671" s="305"/>
      <c r="B671" s="308" t="s">
        <v>452</v>
      </c>
      <c r="C671" s="306">
        <f>(2.5*2.5*0.15)-((3.14*0.36)*0.25)</f>
        <v>0.65</v>
      </c>
      <c r="D671" s="307" t="s">
        <v>355</v>
      </c>
      <c r="E671" s="309">
        <f t="shared" si="57"/>
        <v>36573.57</v>
      </c>
      <c r="F671" s="593">
        <f>+C671*E671</f>
        <v>23772.82</v>
      </c>
    </row>
    <row r="672" spans="1:6">
      <c r="A672" s="305"/>
      <c r="B672" s="308"/>
      <c r="C672" s="306"/>
      <c r="D672" s="307"/>
      <c r="E672" s="309"/>
      <c r="F672" s="593"/>
    </row>
    <row r="673" spans="1:6">
      <c r="A673" s="302"/>
      <c r="B673" s="301" t="s">
        <v>439</v>
      </c>
      <c r="C673" s="306"/>
      <c r="D673" s="307"/>
      <c r="E673" s="309"/>
      <c r="F673" s="593"/>
    </row>
    <row r="674" spans="1:6">
      <c r="A674" s="305"/>
      <c r="B674" s="308" t="s">
        <v>440</v>
      </c>
      <c r="C674" s="306">
        <f>2.5*2.5</f>
        <v>6.25</v>
      </c>
      <c r="D674" s="307" t="s">
        <v>381</v>
      </c>
      <c r="E674" s="309">
        <f t="shared" si="57"/>
        <v>425</v>
      </c>
      <c r="F674" s="593">
        <f>+C674*E674</f>
        <v>2656.25</v>
      </c>
    </row>
    <row r="675" spans="1:6">
      <c r="A675" s="305"/>
      <c r="B675" s="308"/>
      <c r="C675" s="306"/>
      <c r="D675" s="307"/>
      <c r="E675" s="309"/>
      <c r="F675" s="593"/>
    </row>
    <row r="676" spans="1:6">
      <c r="A676" s="302"/>
      <c r="B676" s="301" t="s">
        <v>441</v>
      </c>
      <c r="C676" s="306"/>
      <c r="D676" s="307"/>
      <c r="E676" s="309"/>
      <c r="F676" s="593"/>
    </row>
    <row r="677" spans="1:6">
      <c r="A677" s="305"/>
      <c r="B677" s="308" t="s">
        <v>442</v>
      </c>
      <c r="C677" s="306">
        <v>1</v>
      </c>
      <c r="D677" s="307" t="s">
        <v>443</v>
      </c>
      <c r="E677" s="309">
        <f t="shared" si="57"/>
        <v>4000</v>
      </c>
      <c r="F677" s="593">
        <f>+C677*E677</f>
        <v>4000</v>
      </c>
    </row>
    <row r="678" spans="1:6">
      <c r="A678" s="302"/>
      <c r="B678" s="301"/>
      <c r="C678" s="303"/>
      <c r="D678" s="304"/>
      <c r="E678" s="303"/>
      <c r="F678" s="592"/>
    </row>
    <row r="679" spans="1:6">
      <c r="A679" s="302"/>
      <c r="B679" s="301"/>
      <c r="C679" s="303"/>
      <c r="D679" s="304"/>
      <c r="E679" s="303"/>
      <c r="F679" s="592"/>
    </row>
    <row r="680" spans="1:6" ht="18.75" thickBot="1">
      <c r="A680" s="310"/>
      <c r="B680" s="311" t="s">
        <v>444</v>
      </c>
      <c r="C680" s="312"/>
      <c r="D680" s="313"/>
      <c r="E680" s="314"/>
      <c r="F680" s="315">
        <f>SUM(F661:F677)</f>
        <v>175368.95999999999</v>
      </c>
    </row>
    <row r="681" spans="1:6" ht="18.75" thickTop="1">
      <c r="A681" s="299"/>
      <c r="B681" s="300"/>
      <c r="C681" s="301"/>
      <c r="D681" s="301"/>
      <c r="E681" s="301"/>
      <c r="F681" s="591"/>
    </row>
    <row r="682" spans="1:6" ht="36">
      <c r="A682" s="299"/>
      <c r="B682" s="300" t="s">
        <v>457</v>
      </c>
      <c r="C682" s="301"/>
      <c r="D682" s="301"/>
      <c r="E682" s="301"/>
      <c r="F682" s="591"/>
    </row>
    <row r="683" spans="1:6">
      <c r="A683" s="299"/>
      <c r="B683" s="301"/>
      <c r="C683" s="301"/>
      <c r="D683" s="301"/>
      <c r="E683" s="301"/>
      <c r="F683" s="591"/>
    </row>
    <row r="684" spans="1:6">
      <c r="A684" s="302"/>
      <c r="B684" s="301" t="s">
        <v>328</v>
      </c>
      <c r="C684" s="303">
        <v>1</v>
      </c>
      <c r="D684" s="304" t="s">
        <v>359</v>
      </c>
      <c r="E684" s="303">
        <v>1000</v>
      </c>
      <c r="F684" s="592">
        <f>+C684*E684</f>
        <v>1000</v>
      </c>
    </row>
    <row r="685" spans="1:6">
      <c r="A685" s="302"/>
      <c r="B685" s="301"/>
      <c r="C685" s="303"/>
      <c r="D685" s="304"/>
      <c r="E685" s="303"/>
      <c r="F685" s="592"/>
    </row>
    <row r="686" spans="1:6">
      <c r="A686" s="302"/>
      <c r="B686" s="301" t="s">
        <v>432</v>
      </c>
      <c r="C686" s="303"/>
      <c r="D686" s="304"/>
      <c r="E686" s="303"/>
      <c r="F686" s="592"/>
    </row>
    <row r="687" spans="1:6">
      <c r="A687" s="305"/>
      <c r="B687" s="316" t="s">
        <v>433</v>
      </c>
      <c r="C687" s="306">
        <f>3*3*2.52</f>
        <v>22.68</v>
      </c>
      <c r="D687" s="307" t="s">
        <v>355</v>
      </c>
      <c r="E687" s="306">
        <f>+E664</f>
        <v>262.5</v>
      </c>
      <c r="F687" s="593">
        <f>+C687*E687</f>
        <v>5953.5</v>
      </c>
    </row>
    <row r="688" spans="1:6">
      <c r="A688" s="305"/>
      <c r="B688" s="308" t="s">
        <v>434</v>
      </c>
      <c r="C688" s="306">
        <f>+C687-(2.5*2.5*2.42)</f>
        <v>7.56</v>
      </c>
      <c r="D688" s="307" t="s">
        <v>355</v>
      </c>
      <c r="E688" s="306">
        <f t="shared" ref="E688:E689" si="58">+E665</f>
        <v>190.27</v>
      </c>
      <c r="F688" s="593">
        <f>+C688*E688</f>
        <v>1438.44</v>
      </c>
    </row>
    <row r="689" spans="1:6">
      <c r="A689" s="305"/>
      <c r="B689" s="308" t="s">
        <v>435</v>
      </c>
      <c r="C689" s="306">
        <f>+(C687-C688)*1.3</f>
        <v>19.66</v>
      </c>
      <c r="D689" s="307" t="s">
        <v>355</v>
      </c>
      <c r="E689" s="306">
        <f t="shared" si="58"/>
        <v>371.36</v>
      </c>
      <c r="F689" s="593">
        <f>+C689*E689</f>
        <v>7300.94</v>
      </c>
    </row>
    <row r="690" spans="1:6">
      <c r="A690" s="305"/>
      <c r="B690" s="308"/>
      <c r="C690" s="306" t="s">
        <v>108</v>
      </c>
      <c r="D690" s="307"/>
      <c r="E690" s="306"/>
      <c r="F690" s="593"/>
    </row>
    <row r="691" spans="1:6">
      <c r="A691" s="302"/>
      <c r="B691" s="301" t="s">
        <v>174</v>
      </c>
      <c r="C691" s="306"/>
      <c r="D691" s="307"/>
      <c r="E691" s="306"/>
      <c r="F691" s="593"/>
    </row>
    <row r="692" spans="1:6">
      <c r="A692" s="305"/>
      <c r="B692" s="308" t="s">
        <v>436</v>
      </c>
      <c r="C692" s="306">
        <f>2.5*2.5*0.25</f>
        <v>1.56</v>
      </c>
      <c r="D692" s="307" t="s">
        <v>355</v>
      </c>
      <c r="E692" s="309">
        <f>+E669</f>
        <v>21459.07</v>
      </c>
      <c r="F692" s="593">
        <f>+C692*E692</f>
        <v>33476.15</v>
      </c>
    </row>
    <row r="693" spans="1:6">
      <c r="A693" s="305"/>
      <c r="B693" s="308" t="s">
        <v>437</v>
      </c>
      <c r="C693" s="306">
        <f>+((2.5*2.02*0.25)*2+(2*2.02*0.25)*2)-((3.14*0.36)*0.25)*2</f>
        <v>3.98</v>
      </c>
      <c r="D693" s="307" t="s">
        <v>355</v>
      </c>
      <c r="E693" s="309">
        <f t="shared" ref="E693:E700" si="59">+E670</f>
        <v>21352.62</v>
      </c>
      <c r="F693" s="593">
        <f>+C693*E693</f>
        <v>84983.43</v>
      </c>
    </row>
    <row r="694" spans="1:6">
      <c r="A694" s="305"/>
      <c r="B694" s="308" t="s">
        <v>452</v>
      </c>
      <c r="C694" s="306">
        <f>(2.5*2.5*0.15)-((3.14*0.36)*0.25)</f>
        <v>0.65</v>
      </c>
      <c r="D694" s="307" t="s">
        <v>355</v>
      </c>
      <c r="E694" s="309">
        <f t="shared" si="59"/>
        <v>36573.57</v>
      </c>
      <c r="F694" s="593">
        <f>+C694*E694</f>
        <v>23772.82</v>
      </c>
    </row>
    <row r="695" spans="1:6">
      <c r="A695" s="305"/>
      <c r="B695" s="308"/>
      <c r="C695" s="306"/>
      <c r="D695" s="307"/>
      <c r="E695" s="309"/>
      <c r="F695" s="593"/>
    </row>
    <row r="696" spans="1:6">
      <c r="A696" s="302"/>
      <c r="B696" s="301" t="s">
        <v>439</v>
      </c>
      <c r="C696" s="306"/>
      <c r="D696" s="307"/>
      <c r="E696" s="309"/>
      <c r="F696" s="593"/>
    </row>
    <row r="697" spans="1:6">
      <c r="A697" s="305"/>
      <c r="B697" s="308" t="s">
        <v>440</v>
      </c>
      <c r="C697" s="306">
        <f>2.5*2.5</f>
        <v>6.25</v>
      </c>
      <c r="D697" s="307" t="s">
        <v>381</v>
      </c>
      <c r="E697" s="309">
        <f t="shared" si="59"/>
        <v>425</v>
      </c>
      <c r="F697" s="593">
        <f>+C697*E697</f>
        <v>2656.25</v>
      </c>
    </row>
    <row r="698" spans="1:6">
      <c r="A698" s="305"/>
      <c r="B698" s="308"/>
      <c r="C698" s="306"/>
      <c r="D698" s="307"/>
      <c r="E698" s="309"/>
      <c r="F698" s="593"/>
    </row>
    <row r="699" spans="1:6">
      <c r="A699" s="302"/>
      <c r="B699" s="301" t="s">
        <v>441</v>
      </c>
      <c r="C699" s="306"/>
      <c r="D699" s="307"/>
      <c r="E699" s="309"/>
      <c r="F699" s="593"/>
    </row>
    <row r="700" spans="1:6">
      <c r="A700" s="305"/>
      <c r="B700" s="308" t="s">
        <v>442</v>
      </c>
      <c r="C700" s="306">
        <v>1</v>
      </c>
      <c r="D700" s="307" t="s">
        <v>443</v>
      </c>
      <c r="E700" s="309">
        <f t="shared" si="59"/>
        <v>4000</v>
      </c>
      <c r="F700" s="593">
        <f>+C700*E700</f>
        <v>4000</v>
      </c>
    </row>
    <row r="701" spans="1:6">
      <c r="A701" s="302"/>
      <c r="B701" s="301"/>
      <c r="C701" s="303"/>
      <c r="D701" s="304"/>
      <c r="E701" s="303"/>
      <c r="F701" s="592"/>
    </row>
    <row r="702" spans="1:6">
      <c r="A702" s="302"/>
      <c r="B702" s="301"/>
      <c r="C702" s="303"/>
      <c r="D702" s="304"/>
      <c r="E702" s="303"/>
      <c r="F702" s="592"/>
    </row>
    <row r="703" spans="1:6" ht="18.75" thickBot="1">
      <c r="A703" s="310"/>
      <c r="B703" s="311" t="s">
        <v>444</v>
      </c>
      <c r="C703" s="312"/>
      <c r="D703" s="313"/>
      <c r="E703" s="314"/>
      <c r="F703" s="315">
        <f>SUM(F684:F700)</f>
        <v>164581.53</v>
      </c>
    </row>
    <row r="704" spans="1:6" ht="18.75" thickTop="1">
      <c r="A704" s="299"/>
      <c r="B704" s="300"/>
      <c r="C704" s="301"/>
      <c r="D704" s="301"/>
      <c r="E704" s="301"/>
      <c r="F704" s="591"/>
    </row>
    <row r="705" spans="1:6">
      <c r="A705" s="299"/>
      <c r="B705" s="300" t="s">
        <v>458</v>
      </c>
      <c r="C705" s="301"/>
      <c r="D705" s="301"/>
      <c r="E705" s="301"/>
      <c r="F705" s="591"/>
    </row>
    <row r="706" spans="1:6">
      <c r="A706" s="299"/>
      <c r="B706" s="301"/>
      <c r="C706" s="301"/>
      <c r="D706" s="301"/>
      <c r="E706" s="301"/>
      <c r="F706" s="591"/>
    </row>
    <row r="707" spans="1:6">
      <c r="A707" s="302"/>
      <c r="B707" s="301" t="s">
        <v>328</v>
      </c>
      <c r="C707" s="303">
        <v>1</v>
      </c>
      <c r="D707" s="304" t="s">
        <v>359</v>
      </c>
      <c r="E707" s="303">
        <v>1000</v>
      </c>
      <c r="F707" s="592">
        <f>+C707*E707</f>
        <v>1000</v>
      </c>
    </row>
    <row r="708" spans="1:6">
      <c r="A708" s="302"/>
      <c r="B708" s="301"/>
      <c r="C708" s="303"/>
      <c r="D708" s="304"/>
      <c r="E708" s="303"/>
      <c r="F708" s="592"/>
    </row>
    <row r="709" spans="1:6">
      <c r="A709" s="302"/>
      <c r="B709" s="301" t="s">
        <v>432</v>
      </c>
      <c r="C709" s="303"/>
      <c r="D709" s="304"/>
      <c r="E709" s="303"/>
      <c r="F709" s="592"/>
    </row>
    <row r="710" spans="1:6">
      <c r="A710" s="305"/>
      <c r="B710" s="316" t="s">
        <v>433</v>
      </c>
      <c r="C710" s="306">
        <f>3*3*2.82</f>
        <v>25.38</v>
      </c>
      <c r="D710" s="307" t="s">
        <v>355</v>
      </c>
      <c r="E710" s="306">
        <f>+E687</f>
        <v>262.5</v>
      </c>
      <c r="F710" s="593">
        <f>+C710*E710</f>
        <v>6662.25</v>
      </c>
    </row>
    <row r="711" spans="1:6">
      <c r="A711" s="305"/>
      <c r="B711" s="308" t="s">
        <v>434</v>
      </c>
      <c r="C711" s="306">
        <f>+C710-(2.5*2.5*2.72)</f>
        <v>8.3800000000000008</v>
      </c>
      <c r="D711" s="307" t="s">
        <v>355</v>
      </c>
      <c r="E711" s="306">
        <f t="shared" ref="E711:E712" si="60">+E688</f>
        <v>190.27</v>
      </c>
      <c r="F711" s="593">
        <f>+C711*E711</f>
        <v>1594.46</v>
      </c>
    </row>
    <row r="712" spans="1:6">
      <c r="A712" s="305"/>
      <c r="B712" s="308" t="s">
        <v>435</v>
      </c>
      <c r="C712" s="306">
        <f>+(C710-C711)*1.3</f>
        <v>22.1</v>
      </c>
      <c r="D712" s="307" t="s">
        <v>355</v>
      </c>
      <c r="E712" s="306">
        <f t="shared" si="60"/>
        <v>371.36</v>
      </c>
      <c r="F712" s="593">
        <f>+C712*E712</f>
        <v>8207.06</v>
      </c>
    </row>
    <row r="713" spans="1:6">
      <c r="A713" s="305"/>
      <c r="B713" s="308"/>
      <c r="C713" s="306" t="s">
        <v>108</v>
      </c>
      <c r="D713" s="307"/>
      <c r="E713" s="306"/>
      <c r="F713" s="593"/>
    </row>
    <row r="714" spans="1:6">
      <c r="A714" s="302"/>
      <c r="B714" s="301" t="s">
        <v>174</v>
      </c>
      <c r="C714" s="306"/>
      <c r="D714" s="307"/>
      <c r="E714" s="306"/>
      <c r="F714" s="593"/>
    </row>
    <row r="715" spans="1:6">
      <c r="A715" s="305"/>
      <c r="B715" s="308" t="s">
        <v>436</v>
      </c>
      <c r="C715" s="306">
        <f>2.5*2.5*0.25</f>
        <v>1.56</v>
      </c>
      <c r="D715" s="307" t="s">
        <v>355</v>
      </c>
      <c r="E715" s="309">
        <f>+E692</f>
        <v>21459.07</v>
      </c>
      <c r="F715" s="593">
        <f>+C715*E715</f>
        <v>33476.15</v>
      </c>
    </row>
    <row r="716" spans="1:6">
      <c r="A716" s="305"/>
      <c r="B716" s="308" t="s">
        <v>437</v>
      </c>
      <c r="C716" s="306">
        <f>+((2.5*2.32*0.25)*2+(2*2.32*0.25)*2)-((3.14*0.36)*0.25)*2</f>
        <v>4.6500000000000004</v>
      </c>
      <c r="D716" s="307" t="s">
        <v>355</v>
      </c>
      <c r="E716" s="309">
        <f t="shared" ref="E716:E723" si="61">+E693</f>
        <v>21352.62</v>
      </c>
      <c r="F716" s="593">
        <f>+C716*E716</f>
        <v>99289.68</v>
      </c>
    </row>
    <row r="717" spans="1:6">
      <c r="A717" s="305"/>
      <c r="B717" s="308" t="s">
        <v>452</v>
      </c>
      <c r="C717" s="306">
        <f>(2.5*2.5*0.15)-((3.14*0.36)*0.25)</f>
        <v>0.65</v>
      </c>
      <c r="D717" s="307" t="s">
        <v>355</v>
      </c>
      <c r="E717" s="309">
        <f t="shared" si="61"/>
        <v>36573.57</v>
      </c>
      <c r="F717" s="593">
        <f>+C717*E717</f>
        <v>23772.82</v>
      </c>
    </row>
    <row r="718" spans="1:6">
      <c r="A718" s="305"/>
      <c r="B718" s="308"/>
      <c r="C718" s="306"/>
      <c r="D718" s="307"/>
      <c r="E718" s="309"/>
      <c r="F718" s="593"/>
    </row>
    <row r="719" spans="1:6">
      <c r="A719" s="302"/>
      <c r="B719" s="301" t="s">
        <v>439</v>
      </c>
      <c r="C719" s="306"/>
      <c r="D719" s="307"/>
      <c r="E719" s="309"/>
      <c r="F719" s="593"/>
    </row>
    <row r="720" spans="1:6">
      <c r="A720" s="305"/>
      <c r="B720" s="308" t="s">
        <v>440</v>
      </c>
      <c r="C720" s="306">
        <f>2.5*2.5</f>
        <v>6.25</v>
      </c>
      <c r="D720" s="307" t="s">
        <v>381</v>
      </c>
      <c r="E720" s="309">
        <f t="shared" si="61"/>
        <v>425</v>
      </c>
      <c r="F720" s="593">
        <f>+C720*E720</f>
        <v>2656.25</v>
      </c>
    </row>
    <row r="721" spans="1:6">
      <c r="A721" s="305"/>
      <c r="B721" s="308"/>
      <c r="C721" s="306"/>
      <c r="D721" s="307"/>
      <c r="E721" s="309"/>
      <c r="F721" s="593"/>
    </row>
    <row r="722" spans="1:6">
      <c r="A722" s="302"/>
      <c r="B722" s="301" t="s">
        <v>441</v>
      </c>
      <c r="C722" s="306"/>
      <c r="D722" s="307"/>
      <c r="E722" s="309"/>
      <c r="F722" s="593"/>
    </row>
    <row r="723" spans="1:6">
      <c r="A723" s="305"/>
      <c r="B723" s="308" t="s">
        <v>442</v>
      </c>
      <c r="C723" s="306">
        <v>1</v>
      </c>
      <c r="D723" s="307" t="s">
        <v>443</v>
      </c>
      <c r="E723" s="309">
        <f t="shared" si="61"/>
        <v>4000</v>
      </c>
      <c r="F723" s="593">
        <f>+C723*E723</f>
        <v>4000</v>
      </c>
    </row>
    <row r="724" spans="1:6">
      <c r="A724" s="302"/>
      <c r="B724" s="301"/>
      <c r="C724" s="303"/>
      <c r="D724" s="304"/>
      <c r="E724" s="303"/>
      <c r="F724" s="592"/>
    </row>
    <row r="725" spans="1:6">
      <c r="A725" s="302"/>
      <c r="B725" s="301"/>
      <c r="C725" s="303"/>
      <c r="D725" s="304"/>
      <c r="E725" s="303"/>
      <c r="F725" s="592"/>
    </row>
    <row r="726" spans="1:6" ht="18.75" thickBot="1">
      <c r="A726" s="310"/>
      <c r="B726" s="311" t="s">
        <v>444</v>
      </c>
      <c r="C726" s="312"/>
      <c r="D726" s="313"/>
      <c r="E726" s="314"/>
      <c r="F726" s="315">
        <f>SUM(F707:F723)</f>
        <v>180658.67</v>
      </c>
    </row>
    <row r="727" spans="1:6" ht="18.75" thickTop="1">
      <c r="A727" s="299"/>
      <c r="B727" s="300"/>
      <c r="C727" s="301"/>
      <c r="D727" s="301"/>
      <c r="E727" s="301"/>
      <c r="F727" s="591"/>
    </row>
    <row r="728" spans="1:6">
      <c r="A728" s="299"/>
      <c r="B728" s="300" t="s">
        <v>459</v>
      </c>
      <c r="C728" s="301"/>
      <c r="D728" s="301"/>
      <c r="E728" s="301"/>
      <c r="F728" s="591"/>
    </row>
    <row r="729" spans="1:6">
      <c r="A729" s="299"/>
      <c r="B729" s="301"/>
      <c r="C729" s="301"/>
      <c r="D729" s="301"/>
      <c r="E729" s="301"/>
      <c r="F729" s="591"/>
    </row>
    <row r="730" spans="1:6">
      <c r="A730" s="302"/>
      <c r="B730" s="301" t="s">
        <v>328</v>
      </c>
      <c r="C730" s="303">
        <v>1</v>
      </c>
      <c r="D730" s="304" t="s">
        <v>359</v>
      </c>
      <c r="E730" s="303">
        <v>1000</v>
      </c>
      <c r="F730" s="592">
        <f>+C730*E730</f>
        <v>1000</v>
      </c>
    </row>
    <row r="731" spans="1:6">
      <c r="A731" s="302"/>
      <c r="B731" s="301"/>
      <c r="C731" s="303"/>
      <c r="D731" s="304"/>
      <c r="E731" s="303"/>
      <c r="F731" s="592"/>
    </row>
    <row r="732" spans="1:6">
      <c r="A732" s="302"/>
      <c r="B732" s="301" t="s">
        <v>432</v>
      </c>
      <c r="C732" s="303"/>
      <c r="D732" s="304"/>
      <c r="E732" s="303"/>
      <c r="F732" s="592"/>
    </row>
    <row r="733" spans="1:6">
      <c r="A733" s="305"/>
      <c r="B733" s="316" t="s">
        <v>433</v>
      </c>
      <c r="C733" s="306">
        <f>3*3*2.87</f>
        <v>25.83</v>
      </c>
      <c r="D733" s="307" t="s">
        <v>355</v>
      </c>
      <c r="E733" s="306">
        <f>+E710</f>
        <v>262.5</v>
      </c>
      <c r="F733" s="593">
        <f>+C733*E733</f>
        <v>6780.38</v>
      </c>
    </row>
    <row r="734" spans="1:6">
      <c r="A734" s="305"/>
      <c r="B734" s="308" t="s">
        <v>434</v>
      </c>
      <c r="C734" s="306">
        <f>+C733-(2.5*2.5*2.77)</f>
        <v>8.52</v>
      </c>
      <c r="D734" s="307" t="s">
        <v>355</v>
      </c>
      <c r="E734" s="306">
        <f t="shared" ref="E734:E735" si="62">+E711</f>
        <v>190.27</v>
      </c>
      <c r="F734" s="593">
        <f>+C734*E734</f>
        <v>1621.1</v>
      </c>
    </row>
    <row r="735" spans="1:6">
      <c r="A735" s="305"/>
      <c r="B735" s="308" t="s">
        <v>435</v>
      </c>
      <c r="C735" s="306">
        <f>+(C733-C734)*1.3</f>
        <v>22.5</v>
      </c>
      <c r="D735" s="307" t="s">
        <v>355</v>
      </c>
      <c r="E735" s="306">
        <f t="shared" si="62"/>
        <v>371.36</v>
      </c>
      <c r="F735" s="593">
        <f>+C735*E735</f>
        <v>8355.6</v>
      </c>
    </row>
    <row r="736" spans="1:6">
      <c r="A736" s="305"/>
      <c r="B736" s="308"/>
      <c r="C736" s="306" t="s">
        <v>108</v>
      </c>
      <c r="D736" s="307"/>
      <c r="E736" s="306"/>
      <c r="F736" s="593"/>
    </row>
    <row r="737" spans="1:6">
      <c r="A737" s="302"/>
      <c r="B737" s="301" t="s">
        <v>174</v>
      </c>
      <c r="C737" s="306"/>
      <c r="D737" s="307"/>
      <c r="E737" s="306"/>
      <c r="F737" s="593"/>
    </row>
    <row r="738" spans="1:6">
      <c r="A738" s="305"/>
      <c r="B738" s="308" t="s">
        <v>436</v>
      </c>
      <c r="C738" s="306">
        <f>2.5*2.5*0.25</f>
        <v>1.56</v>
      </c>
      <c r="D738" s="307" t="s">
        <v>355</v>
      </c>
      <c r="E738" s="309">
        <f>+E715</f>
        <v>21459.07</v>
      </c>
      <c r="F738" s="593">
        <f>+C738*E738</f>
        <v>33476.15</v>
      </c>
    </row>
    <row r="739" spans="1:6">
      <c r="A739" s="305"/>
      <c r="B739" s="308" t="s">
        <v>437</v>
      </c>
      <c r="C739" s="306">
        <f>+((2.5*2.32*0.25)*2+(2*2.32*0.25)*2)-((3.14*0.36)*0.25)*2</f>
        <v>4.6500000000000004</v>
      </c>
      <c r="D739" s="307" t="s">
        <v>355</v>
      </c>
      <c r="E739" s="309">
        <f t="shared" ref="E739:E746" si="63">+E716</f>
        <v>21352.62</v>
      </c>
      <c r="F739" s="593">
        <f>+C739*E739</f>
        <v>99289.68</v>
      </c>
    </row>
    <row r="740" spans="1:6">
      <c r="A740" s="305"/>
      <c r="B740" s="308" t="s">
        <v>452</v>
      </c>
      <c r="C740" s="306">
        <f>(2.5*2.5*0.15)-((3.14*0.36)*0.25)</f>
        <v>0.65</v>
      </c>
      <c r="D740" s="307" t="s">
        <v>355</v>
      </c>
      <c r="E740" s="309">
        <f t="shared" si="63"/>
        <v>36573.57</v>
      </c>
      <c r="F740" s="593">
        <f>+C740*E740</f>
        <v>23772.82</v>
      </c>
    </row>
    <row r="741" spans="1:6">
      <c r="A741" s="305"/>
      <c r="B741" s="308"/>
      <c r="C741" s="306"/>
      <c r="D741" s="307"/>
      <c r="E741" s="309"/>
      <c r="F741" s="593"/>
    </row>
    <row r="742" spans="1:6">
      <c r="A742" s="302"/>
      <c r="B742" s="301" t="s">
        <v>439</v>
      </c>
      <c r="C742" s="306"/>
      <c r="D742" s="307"/>
      <c r="E742" s="309"/>
      <c r="F742" s="593"/>
    </row>
    <row r="743" spans="1:6">
      <c r="A743" s="305"/>
      <c r="B743" s="308" t="s">
        <v>440</v>
      </c>
      <c r="C743" s="306">
        <f>2.5*2.5</f>
        <v>6.25</v>
      </c>
      <c r="D743" s="307" t="s">
        <v>381</v>
      </c>
      <c r="E743" s="309">
        <f t="shared" si="63"/>
        <v>425</v>
      </c>
      <c r="F743" s="593">
        <f>+C743*E743</f>
        <v>2656.25</v>
      </c>
    </row>
    <row r="744" spans="1:6">
      <c r="A744" s="305"/>
      <c r="B744" s="308"/>
      <c r="C744" s="306"/>
      <c r="D744" s="307"/>
      <c r="E744" s="309"/>
      <c r="F744" s="593"/>
    </row>
    <row r="745" spans="1:6">
      <c r="A745" s="302"/>
      <c r="B745" s="301" t="s">
        <v>441</v>
      </c>
      <c r="C745" s="306"/>
      <c r="D745" s="307"/>
      <c r="E745" s="309"/>
      <c r="F745" s="593"/>
    </row>
    <row r="746" spans="1:6">
      <c r="A746" s="305"/>
      <c r="B746" s="308" t="s">
        <v>442</v>
      </c>
      <c r="C746" s="306">
        <v>1</v>
      </c>
      <c r="D746" s="307" t="s">
        <v>443</v>
      </c>
      <c r="E746" s="309">
        <f t="shared" si="63"/>
        <v>4000</v>
      </c>
      <c r="F746" s="593">
        <f>+C746*E746</f>
        <v>4000</v>
      </c>
    </row>
    <row r="747" spans="1:6">
      <c r="A747" s="302"/>
      <c r="B747" s="301"/>
      <c r="C747" s="303"/>
      <c r="D747" s="304"/>
      <c r="E747" s="303"/>
      <c r="F747" s="592"/>
    </row>
    <row r="748" spans="1:6">
      <c r="A748" s="302"/>
      <c r="B748" s="301"/>
      <c r="C748" s="303"/>
      <c r="D748" s="304"/>
      <c r="E748" s="303"/>
      <c r="F748" s="592"/>
    </row>
    <row r="749" spans="1:6" ht="18.75" thickBot="1">
      <c r="A749" s="310"/>
      <c r="B749" s="311" t="s">
        <v>444</v>
      </c>
      <c r="C749" s="312"/>
      <c r="D749" s="313"/>
      <c r="E749" s="314"/>
      <c r="F749" s="315">
        <f>SUM(F730:F746)</f>
        <v>180951.98</v>
      </c>
    </row>
    <row r="750" spans="1:6" ht="18.75" thickTop="1">
      <c r="A750" s="299"/>
      <c r="B750" s="300"/>
      <c r="C750" s="301"/>
      <c r="D750" s="301"/>
      <c r="E750" s="301"/>
      <c r="F750" s="591"/>
    </row>
    <row r="751" spans="1:6">
      <c r="A751" s="299"/>
      <c r="B751" s="300" t="s">
        <v>460</v>
      </c>
      <c r="C751" s="301"/>
      <c r="D751" s="301"/>
      <c r="E751" s="301"/>
      <c r="F751" s="591"/>
    </row>
    <row r="752" spans="1:6">
      <c r="A752" s="299"/>
      <c r="B752" s="301"/>
      <c r="C752" s="301"/>
      <c r="D752" s="301"/>
      <c r="E752" s="301"/>
      <c r="F752" s="591"/>
    </row>
    <row r="753" spans="1:6">
      <c r="A753" s="302"/>
      <c r="B753" s="301" t="s">
        <v>328</v>
      </c>
      <c r="C753" s="303">
        <v>1</v>
      </c>
      <c r="D753" s="304" t="s">
        <v>359</v>
      </c>
      <c r="E753" s="303">
        <v>1000</v>
      </c>
      <c r="F753" s="592">
        <f>+C753*E753</f>
        <v>1000</v>
      </c>
    </row>
    <row r="754" spans="1:6">
      <c r="A754" s="302"/>
      <c r="B754" s="301"/>
      <c r="C754" s="303"/>
      <c r="D754" s="304"/>
      <c r="E754" s="303"/>
      <c r="F754" s="592"/>
    </row>
    <row r="755" spans="1:6">
      <c r="A755" s="302"/>
      <c r="B755" s="301" t="s">
        <v>432</v>
      </c>
      <c r="C755" s="303"/>
      <c r="D755" s="304"/>
      <c r="E755" s="303"/>
      <c r="F755" s="592"/>
    </row>
    <row r="756" spans="1:6">
      <c r="A756" s="305"/>
      <c r="B756" s="316" t="s">
        <v>433</v>
      </c>
      <c r="C756" s="306">
        <f>3*3*3.02</f>
        <v>27.18</v>
      </c>
      <c r="D756" s="307" t="s">
        <v>355</v>
      </c>
      <c r="E756" s="306">
        <f>+E733</f>
        <v>262.5</v>
      </c>
      <c r="F756" s="593">
        <f>+C756*E756</f>
        <v>7134.75</v>
      </c>
    </row>
    <row r="757" spans="1:6">
      <c r="A757" s="305"/>
      <c r="B757" s="308" t="s">
        <v>434</v>
      </c>
      <c r="C757" s="306">
        <f>+C756-(2.5*2.5*2.92)</f>
        <v>8.93</v>
      </c>
      <c r="D757" s="307" t="s">
        <v>355</v>
      </c>
      <c r="E757" s="306">
        <f t="shared" ref="E757:E758" si="64">+E734</f>
        <v>190.27</v>
      </c>
      <c r="F757" s="593">
        <f>+C757*E757</f>
        <v>1699.11</v>
      </c>
    </row>
    <row r="758" spans="1:6">
      <c r="A758" s="305"/>
      <c r="B758" s="308" t="s">
        <v>435</v>
      </c>
      <c r="C758" s="306">
        <f>+(C756-C757)*1.3</f>
        <v>23.73</v>
      </c>
      <c r="D758" s="307" t="s">
        <v>355</v>
      </c>
      <c r="E758" s="306">
        <f t="shared" si="64"/>
        <v>371.36</v>
      </c>
      <c r="F758" s="593">
        <f>+C758*E758</f>
        <v>8812.3700000000008</v>
      </c>
    </row>
    <row r="759" spans="1:6">
      <c r="A759" s="305"/>
      <c r="B759" s="308"/>
      <c r="C759" s="306" t="s">
        <v>108</v>
      </c>
      <c r="D759" s="307"/>
      <c r="E759" s="306"/>
      <c r="F759" s="593"/>
    </row>
    <row r="760" spans="1:6">
      <c r="A760" s="302"/>
      <c r="B760" s="301" t="s">
        <v>174</v>
      </c>
      <c r="C760" s="306"/>
      <c r="D760" s="307"/>
      <c r="E760" s="306"/>
      <c r="F760" s="593"/>
    </row>
    <row r="761" spans="1:6">
      <c r="A761" s="305"/>
      <c r="B761" s="308" t="s">
        <v>436</v>
      </c>
      <c r="C761" s="306">
        <f>2.5*2.5*0.25</f>
        <v>1.56</v>
      </c>
      <c r="D761" s="307" t="s">
        <v>355</v>
      </c>
      <c r="E761" s="309">
        <f>+E738</f>
        <v>21459.07</v>
      </c>
      <c r="F761" s="593">
        <f>+C761*E761</f>
        <v>33476.15</v>
      </c>
    </row>
    <row r="762" spans="1:6">
      <c r="A762" s="305"/>
      <c r="B762" s="308" t="s">
        <v>437</v>
      </c>
      <c r="C762" s="306">
        <f>+((2.5*2.52*0.25)*2+(2*2.52*0.25)*2)-((3.14*0.36)*0.25)*2</f>
        <v>5.0999999999999996</v>
      </c>
      <c r="D762" s="307" t="s">
        <v>355</v>
      </c>
      <c r="E762" s="309">
        <f t="shared" ref="E762:E769" si="65">+E739</f>
        <v>21352.62</v>
      </c>
      <c r="F762" s="593">
        <f>+C762*E762</f>
        <v>108898.36</v>
      </c>
    </row>
    <row r="763" spans="1:6">
      <c r="A763" s="305"/>
      <c r="B763" s="308" t="s">
        <v>452</v>
      </c>
      <c r="C763" s="306">
        <f>(2.5*2.5*0.15)-((3.14*0.36)*0.25)</f>
        <v>0.65</v>
      </c>
      <c r="D763" s="307" t="s">
        <v>355</v>
      </c>
      <c r="E763" s="309">
        <f t="shared" si="65"/>
        <v>36573.57</v>
      </c>
      <c r="F763" s="593">
        <f>+C763*E763</f>
        <v>23772.82</v>
      </c>
    </row>
    <row r="764" spans="1:6">
      <c r="A764" s="305"/>
      <c r="B764" s="308"/>
      <c r="C764" s="306"/>
      <c r="D764" s="307"/>
      <c r="E764" s="309"/>
      <c r="F764" s="593"/>
    </row>
    <row r="765" spans="1:6">
      <c r="A765" s="302"/>
      <c r="B765" s="301" t="s">
        <v>439</v>
      </c>
      <c r="C765" s="306"/>
      <c r="D765" s="307"/>
      <c r="E765" s="309"/>
      <c r="F765" s="593"/>
    </row>
    <row r="766" spans="1:6">
      <c r="A766" s="305"/>
      <c r="B766" s="308" t="s">
        <v>440</v>
      </c>
      <c r="C766" s="306">
        <f>2.5*2.5</f>
        <v>6.25</v>
      </c>
      <c r="D766" s="307" t="s">
        <v>381</v>
      </c>
      <c r="E766" s="309">
        <f t="shared" si="65"/>
        <v>425</v>
      </c>
      <c r="F766" s="593">
        <f>+C766*E766</f>
        <v>2656.25</v>
      </c>
    </row>
    <row r="767" spans="1:6">
      <c r="A767" s="305"/>
      <c r="B767" s="308"/>
      <c r="C767" s="306"/>
      <c r="D767" s="307"/>
      <c r="E767" s="309"/>
      <c r="F767" s="593"/>
    </row>
    <row r="768" spans="1:6">
      <c r="A768" s="302"/>
      <c r="B768" s="301" t="s">
        <v>441</v>
      </c>
      <c r="C768" s="306"/>
      <c r="D768" s="307"/>
      <c r="E768" s="309"/>
      <c r="F768" s="593"/>
    </row>
    <row r="769" spans="1:6">
      <c r="A769" s="305"/>
      <c r="B769" s="308" t="s">
        <v>442</v>
      </c>
      <c r="C769" s="306">
        <v>1</v>
      </c>
      <c r="D769" s="307" t="s">
        <v>443</v>
      </c>
      <c r="E769" s="309">
        <f t="shared" si="65"/>
        <v>4000</v>
      </c>
      <c r="F769" s="593">
        <f>+C769*E769</f>
        <v>4000</v>
      </c>
    </row>
    <row r="770" spans="1:6">
      <c r="A770" s="302"/>
      <c r="B770" s="301"/>
      <c r="C770" s="303"/>
      <c r="D770" s="304"/>
      <c r="E770" s="303"/>
      <c r="F770" s="592"/>
    </row>
    <row r="771" spans="1:6">
      <c r="A771" s="302"/>
      <c r="B771" s="301"/>
      <c r="C771" s="303"/>
      <c r="D771" s="304"/>
      <c r="E771" s="303"/>
      <c r="F771" s="592"/>
    </row>
    <row r="772" spans="1:6" ht="18.75" thickBot="1">
      <c r="A772" s="310"/>
      <c r="B772" s="311" t="s">
        <v>444</v>
      </c>
      <c r="C772" s="312"/>
      <c r="D772" s="313"/>
      <c r="E772" s="314"/>
      <c r="F772" s="315">
        <f>SUM(F753:F769)</f>
        <v>191449.81</v>
      </c>
    </row>
    <row r="773" spans="1:6" ht="18.75" thickTop="1">
      <c r="A773" s="320"/>
      <c r="B773" s="300"/>
      <c r="C773" s="321"/>
      <c r="D773" s="321"/>
      <c r="E773" s="321"/>
      <c r="F773" s="594"/>
    </row>
    <row r="774" spans="1:6">
      <c r="A774" s="320"/>
      <c r="B774" s="300" t="s">
        <v>461</v>
      </c>
      <c r="C774" s="321"/>
      <c r="D774" s="321"/>
      <c r="E774" s="321"/>
      <c r="F774" s="594"/>
    </row>
    <row r="775" spans="1:6">
      <c r="A775" s="320"/>
      <c r="B775" s="322" t="s">
        <v>462</v>
      </c>
      <c r="C775" s="323">
        <v>1.4</v>
      </c>
      <c r="D775" s="324" t="s">
        <v>113</v>
      </c>
      <c r="E775" s="325">
        <v>900</v>
      </c>
      <c r="F775" s="595">
        <f>+E775*C775</f>
        <v>1260</v>
      </c>
    </row>
    <row r="776" spans="1:6">
      <c r="A776" s="326"/>
      <c r="B776" s="322" t="s">
        <v>463</v>
      </c>
      <c r="C776" s="323">
        <f>+C775</f>
        <v>1.4</v>
      </c>
      <c r="D776" s="324" t="s">
        <v>464</v>
      </c>
      <c r="E776" s="325">
        <v>85</v>
      </c>
      <c r="F776" s="595">
        <f t="shared" ref="F776" si="66">+E776*C776</f>
        <v>119</v>
      </c>
    </row>
    <row r="777" spans="1:6">
      <c r="A777" s="326"/>
      <c r="B777" s="321"/>
      <c r="C777" s="327"/>
      <c r="D777" s="328"/>
      <c r="E777" s="327"/>
      <c r="F777" s="596"/>
    </row>
    <row r="778" spans="1:6">
      <c r="A778" s="326"/>
      <c r="B778" s="321" t="s">
        <v>425</v>
      </c>
      <c r="C778" s="327"/>
      <c r="D778" s="328"/>
      <c r="E778" s="327"/>
      <c r="F778" s="597">
        <f>SUM(F775:F777)</f>
        <v>1379</v>
      </c>
    </row>
    <row r="779" spans="1:6">
      <c r="A779" s="329"/>
      <c r="B779" s="322"/>
      <c r="C779" s="330"/>
      <c r="D779" s="331"/>
      <c r="E779" s="330"/>
      <c r="F779" s="596"/>
    </row>
    <row r="780" spans="1:6">
      <c r="A780" s="329"/>
      <c r="B780" s="332" t="s">
        <v>465</v>
      </c>
      <c r="C780" s="330"/>
      <c r="D780" s="331"/>
      <c r="E780" s="330"/>
      <c r="F780" s="596"/>
    </row>
    <row r="781" spans="1:6">
      <c r="A781" s="329"/>
      <c r="B781" s="319" t="s">
        <v>466</v>
      </c>
      <c r="C781" s="330">
        <v>0.05</v>
      </c>
      <c r="D781" s="331" t="s">
        <v>467</v>
      </c>
      <c r="E781" s="330">
        <v>3392.06</v>
      </c>
      <c r="F781" s="596">
        <f t="shared" ref="F781:F788" si="67">+E781*C781</f>
        <v>169.6</v>
      </c>
    </row>
    <row r="782" spans="1:6" ht="36">
      <c r="A782" s="329"/>
      <c r="B782" s="319" t="s">
        <v>468</v>
      </c>
      <c r="C782" s="330">
        <v>1.4</v>
      </c>
      <c r="D782" s="331" t="s">
        <v>469</v>
      </c>
      <c r="E782" s="330">
        <v>744</v>
      </c>
      <c r="F782" s="596">
        <f t="shared" si="67"/>
        <v>1041.5999999999999</v>
      </c>
    </row>
    <row r="783" spans="1:6">
      <c r="A783" s="326"/>
      <c r="B783" s="321"/>
      <c r="C783" s="330"/>
      <c r="D783" s="331"/>
      <c r="E783" s="330"/>
      <c r="F783" s="596"/>
    </row>
    <row r="784" spans="1:6">
      <c r="A784" s="329"/>
      <c r="B784" s="332" t="s">
        <v>425</v>
      </c>
      <c r="C784" s="333"/>
      <c r="D784" s="334"/>
      <c r="E784" s="335"/>
      <c r="F784" s="597">
        <f>SUM(F781:F783)</f>
        <v>1211.2</v>
      </c>
    </row>
    <row r="785" spans="1:6">
      <c r="A785" s="329"/>
      <c r="B785" s="319"/>
      <c r="C785" s="330"/>
      <c r="D785" s="331"/>
      <c r="E785" s="336"/>
      <c r="F785" s="596"/>
    </row>
    <row r="786" spans="1:6">
      <c r="A786" s="329"/>
      <c r="B786" s="332" t="s">
        <v>470</v>
      </c>
      <c r="C786" s="330"/>
      <c r="D786" s="331"/>
      <c r="E786" s="336"/>
      <c r="F786" s="596"/>
    </row>
    <row r="787" spans="1:6">
      <c r="A787" s="329"/>
      <c r="B787" s="319" t="s">
        <v>471</v>
      </c>
      <c r="C787" s="330">
        <v>1</v>
      </c>
      <c r="D787" s="331" t="s">
        <v>467</v>
      </c>
      <c r="E787" s="336">
        <v>75</v>
      </c>
      <c r="F787" s="596">
        <f t="shared" si="67"/>
        <v>75</v>
      </c>
    </row>
    <row r="788" spans="1:6">
      <c r="A788" s="326"/>
      <c r="B788" s="322" t="s">
        <v>472</v>
      </c>
      <c r="C788" s="330">
        <v>0.5</v>
      </c>
      <c r="D788" s="331" t="s">
        <v>467</v>
      </c>
      <c r="E788" s="336">
        <v>162.5</v>
      </c>
      <c r="F788" s="596">
        <f t="shared" si="67"/>
        <v>81.25</v>
      </c>
    </row>
    <row r="789" spans="1:6">
      <c r="A789" s="329"/>
      <c r="B789" s="319"/>
      <c r="C789" s="330"/>
      <c r="D789" s="331"/>
      <c r="E789" s="336"/>
      <c r="F789" s="596"/>
    </row>
    <row r="790" spans="1:6">
      <c r="A790" s="329"/>
      <c r="B790" s="332" t="s">
        <v>425</v>
      </c>
      <c r="C790" s="333"/>
      <c r="D790" s="334"/>
      <c r="E790" s="335"/>
      <c r="F790" s="597">
        <f>SUM(F786:F788)</f>
        <v>156.25</v>
      </c>
    </row>
    <row r="791" spans="1:6">
      <c r="A791" s="326"/>
      <c r="B791" s="321"/>
      <c r="C791" s="330"/>
      <c r="D791" s="331"/>
      <c r="E791" s="336"/>
      <c r="F791" s="596"/>
    </row>
    <row r="792" spans="1:6">
      <c r="A792" s="329"/>
      <c r="B792" s="332" t="s">
        <v>473</v>
      </c>
      <c r="C792" s="330">
        <v>0.01</v>
      </c>
      <c r="D792" s="331"/>
      <c r="E792" s="336">
        <f>+F790</f>
        <v>156.25</v>
      </c>
      <c r="F792" s="596">
        <f t="shared" ref="F792" si="68">+E792*C792</f>
        <v>1.56</v>
      </c>
    </row>
    <row r="793" spans="1:6">
      <c r="A793" s="326"/>
      <c r="B793" s="321"/>
      <c r="C793" s="327"/>
      <c r="D793" s="328"/>
      <c r="E793" s="327"/>
      <c r="F793" s="598"/>
    </row>
    <row r="794" spans="1:6">
      <c r="A794" s="326"/>
      <c r="B794" s="321" t="s">
        <v>425</v>
      </c>
      <c r="C794" s="327"/>
      <c r="D794" s="328"/>
      <c r="E794" s="327"/>
      <c r="F794" s="598">
        <f>+F792</f>
        <v>1.56</v>
      </c>
    </row>
    <row r="795" spans="1:6">
      <c r="A795" s="320"/>
      <c r="B795" s="300"/>
      <c r="C795" s="321"/>
      <c r="D795" s="321"/>
      <c r="E795" s="321"/>
      <c r="F795" s="594"/>
    </row>
    <row r="796" spans="1:6" ht="18.75" thickBot="1">
      <c r="A796" s="310"/>
      <c r="B796" s="311" t="s">
        <v>444</v>
      </c>
      <c r="C796" s="312"/>
      <c r="D796" s="313"/>
      <c r="E796" s="314"/>
      <c r="F796" s="315">
        <f>+F794+F790+F784+F778</f>
        <v>2748.01</v>
      </c>
    </row>
    <row r="797" spans="1:6" ht="18.75" thickTop="1"/>
  </sheetData>
  <mergeCells count="3">
    <mergeCell ref="A1:F1"/>
    <mergeCell ref="A2:F2"/>
    <mergeCell ref="A3:F3"/>
  </mergeCells>
  <pageMargins left="0.7" right="0.7" top="0.75" bottom="0.75" header="0.3" footer="0.3"/>
  <pageSetup scale="66" orientation="portrait" r:id="rId1"/>
  <colBreaks count="1" manualBreakCount="1">
    <brk id="6" max="1048575" man="1"/>
  </colBreaks>
  <ignoredErrors>
    <ignoredError sqref="F4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6"/>
  <sheetViews>
    <sheetView view="pageBreakPreview" topLeftCell="A64" zoomScale="60" workbookViewId="0">
      <selection activeCell="E83" sqref="E83"/>
    </sheetView>
  </sheetViews>
  <sheetFormatPr defaultColWidth="12.6640625" defaultRowHeight="18"/>
  <cols>
    <col min="1" max="1" width="7.88671875" style="91" customWidth="1"/>
    <col min="2" max="2" width="31.6640625" style="61" customWidth="1"/>
    <col min="3" max="3" width="15" style="92" customWidth="1"/>
    <col min="4" max="4" width="18.109375" style="93" customWidth="1"/>
    <col min="5" max="5" width="15.44140625" style="92" customWidth="1"/>
    <col min="6" max="6" width="16.6640625" style="61" customWidth="1"/>
    <col min="7" max="7" width="14.33203125" style="61" customWidth="1"/>
    <col min="8" max="8" width="16.6640625" style="80" customWidth="1"/>
    <col min="9" max="9" width="25.33203125" style="80" customWidth="1"/>
    <col min="10" max="10" width="19.88671875" style="80" customWidth="1"/>
    <col min="11" max="11" width="10.77734375" style="80" customWidth="1"/>
    <col min="12" max="256" width="12.6640625" style="61"/>
    <col min="257" max="257" width="7.88671875" style="61" customWidth="1"/>
    <col min="258" max="258" width="31.6640625" style="61" customWidth="1"/>
    <col min="259" max="259" width="12.77734375" style="61" customWidth="1"/>
    <col min="260" max="260" width="15.6640625" style="61" customWidth="1"/>
    <col min="261" max="261" width="14.6640625" style="61" customWidth="1"/>
    <col min="262" max="262" width="14.21875" style="61" customWidth="1"/>
    <col min="263" max="263" width="10.44140625" style="61" bestFit="1" customWidth="1"/>
    <col min="264" max="264" width="11.33203125" style="61" customWidth="1"/>
    <col min="265" max="265" width="25.33203125" style="61" customWidth="1"/>
    <col min="266" max="266" width="19.88671875" style="61" customWidth="1"/>
    <col min="267" max="267" width="10.77734375" style="61" customWidth="1"/>
    <col min="268" max="512" width="12.6640625" style="61"/>
    <col min="513" max="513" width="7.88671875" style="61" customWidth="1"/>
    <col min="514" max="514" width="31.6640625" style="61" customWidth="1"/>
    <col min="515" max="515" width="12.77734375" style="61" customWidth="1"/>
    <col min="516" max="516" width="15.6640625" style="61" customWidth="1"/>
    <col min="517" max="517" width="14.6640625" style="61" customWidth="1"/>
    <col min="518" max="518" width="14.21875" style="61" customWidth="1"/>
    <col min="519" max="519" width="10.44140625" style="61" bestFit="1" customWidth="1"/>
    <col min="520" max="520" width="11.33203125" style="61" customWidth="1"/>
    <col min="521" max="521" width="25.33203125" style="61" customWidth="1"/>
    <col min="522" max="522" width="19.88671875" style="61" customWidth="1"/>
    <col min="523" max="523" width="10.77734375" style="61" customWidth="1"/>
    <col min="524" max="768" width="12.6640625" style="61"/>
    <col min="769" max="769" width="7.88671875" style="61" customWidth="1"/>
    <col min="770" max="770" width="31.6640625" style="61" customWidth="1"/>
    <col min="771" max="771" width="12.77734375" style="61" customWidth="1"/>
    <col min="772" max="772" width="15.6640625" style="61" customWidth="1"/>
    <col min="773" max="773" width="14.6640625" style="61" customWidth="1"/>
    <col min="774" max="774" width="14.21875" style="61" customWidth="1"/>
    <col min="775" max="775" width="10.44140625" style="61" bestFit="1" customWidth="1"/>
    <col min="776" max="776" width="11.33203125" style="61" customWidth="1"/>
    <col min="777" max="777" width="25.33203125" style="61" customWidth="1"/>
    <col min="778" max="778" width="19.88671875" style="61" customWidth="1"/>
    <col min="779" max="779" width="10.77734375" style="61" customWidth="1"/>
    <col min="780" max="1024" width="12.6640625" style="61"/>
    <col min="1025" max="1025" width="7.88671875" style="61" customWidth="1"/>
    <col min="1026" max="1026" width="31.6640625" style="61" customWidth="1"/>
    <col min="1027" max="1027" width="12.77734375" style="61" customWidth="1"/>
    <col min="1028" max="1028" width="15.6640625" style="61" customWidth="1"/>
    <col min="1029" max="1029" width="14.6640625" style="61" customWidth="1"/>
    <col min="1030" max="1030" width="14.21875" style="61" customWidth="1"/>
    <col min="1031" max="1031" width="10.44140625" style="61" bestFit="1" customWidth="1"/>
    <col min="1032" max="1032" width="11.33203125" style="61" customWidth="1"/>
    <col min="1033" max="1033" width="25.33203125" style="61" customWidth="1"/>
    <col min="1034" max="1034" width="19.88671875" style="61" customWidth="1"/>
    <col min="1035" max="1035" width="10.77734375" style="61" customWidth="1"/>
    <col min="1036" max="1280" width="12.6640625" style="61"/>
    <col min="1281" max="1281" width="7.88671875" style="61" customWidth="1"/>
    <col min="1282" max="1282" width="31.6640625" style="61" customWidth="1"/>
    <col min="1283" max="1283" width="12.77734375" style="61" customWidth="1"/>
    <col min="1284" max="1284" width="15.6640625" style="61" customWidth="1"/>
    <col min="1285" max="1285" width="14.6640625" style="61" customWidth="1"/>
    <col min="1286" max="1286" width="14.21875" style="61" customWidth="1"/>
    <col min="1287" max="1287" width="10.44140625" style="61" bestFit="1" customWidth="1"/>
    <col min="1288" max="1288" width="11.33203125" style="61" customWidth="1"/>
    <col min="1289" max="1289" width="25.33203125" style="61" customWidth="1"/>
    <col min="1290" max="1290" width="19.88671875" style="61" customWidth="1"/>
    <col min="1291" max="1291" width="10.77734375" style="61" customWidth="1"/>
    <col min="1292" max="1536" width="12.6640625" style="61"/>
    <col min="1537" max="1537" width="7.88671875" style="61" customWidth="1"/>
    <col min="1538" max="1538" width="31.6640625" style="61" customWidth="1"/>
    <col min="1539" max="1539" width="12.77734375" style="61" customWidth="1"/>
    <col min="1540" max="1540" width="15.6640625" style="61" customWidth="1"/>
    <col min="1541" max="1541" width="14.6640625" style="61" customWidth="1"/>
    <col min="1542" max="1542" width="14.21875" style="61" customWidth="1"/>
    <col min="1543" max="1543" width="10.44140625" style="61" bestFit="1" customWidth="1"/>
    <col min="1544" max="1544" width="11.33203125" style="61" customWidth="1"/>
    <col min="1545" max="1545" width="25.33203125" style="61" customWidth="1"/>
    <col min="1546" max="1546" width="19.88671875" style="61" customWidth="1"/>
    <col min="1547" max="1547" width="10.77734375" style="61" customWidth="1"/>
    <col min="1548" max="1792" width="12.6640625" style="61"/>
    <col min="1793" max="1793" width="7.88671875" style="61" customWidth="1"/>
    <col min="1794" max="1794" width="31.6640625" style="61" customWidth="1"/>
    <col min="1795" max="1795" width="12.77734375" style="61" customWidth="1"/>
    <col min="1796" max="1796" width="15.6640625" style="61" customWidth="1"/>
    <col min="1797" max="1797" width="14.6640625" style="61" customWidth="1"/>
    <col min="1798" max="1798" width="14.21875" style="61" customWidth="1"/>
    <col min="1799" max="1799" width="10.44140625" style="61" bestFit="1" customWidth="1"/>
    <col min="1800" max="1800" width="11.33203125" style="61" customWidth="1"/>
    <col min="1801" max="1801" width="25.33203125" style="61" customWidth="1"/>
    <col min="1802" max="1802" width="19.88671875" style="61" customWidth="1"/>
    <col min="1803" max="1803" width="10.77734375" style="61" customWidth="1"/>
    <col min="1804" max="2048" width="12.6640625" style="61"/>
    <col min="2049" max="2049" width="7.88671875" style="61" customWidth="1"/>
    <col min="2050" max="2050" width="31.6640625" style="61" customWidth="1"/>
    <col min="2051" max="2051" width="12.77734375" style="61" customWidth="1"/>
    <col min="2052" max="2052" width="15.6640625" style="61" customWidth="1"/>
    <col min="2053" max="2053" width="14.6640625" style="61" customWidth="1"/>
    <col min="2054" max="2054" width="14.21875" style="61" customWidth="1"/>
    <col min="2055" max="2055" width="10.44140625" style="61" bestFit="1" customWidth="1"/>
    <col min="2056" max="2056" width="11.33203125" style="61" customWidth="1"/>
    <col min="2057" max="2057" width="25.33203125" style="61" customWidth="1"/>
    <col min="2058" max="2058" width="19.88671875" style="61" customWidth="1"/>
    <col min="2059" max="2059" width="10.77734375" style="61" customWidth="1"/>
    <col min="2060" max="2304" width="12.6640625" style="61"/>
    <col min="2305" max="2305" width="7.88671875" style="61" customWidth="1"/>
    <col min="2306" max="2306" width="31.6640625" style="61" customWidth="1"/>
    <col min="2307" max="2307" width="12.77734375" style="61" customWidth="1"/>
    <col min="2308" max="2308" width="15.6640625" style="61" customWidth="1"/>
    <col min="2309" max="2309" width="14.6640625" style="61" customWidth="1"/>
    <col min="2310" max="2310" width="14.21875" style="61" customWidth="1"/>
    <col min="2311" max="2311" width="10.44140625" style="61" bestFit="1" customWidth="1"/>
    <col min="2312" max="2312" width="11.33203125" style="61" customWidth="1"/>
    <col min="2313" max="2313" width="25.33203125" style="61" customWidth="1"/>
    <col min="2314" max="2314" width="19.88671875" style="61" customWidth="1"/>
    <col min="2315" max="2315" width="10.77734375" style="61" customWidth="1"/>
    <col min="2316" max="2560" width="12.6640625" style="61"/>
    <col min="2561" max="2561" width="7.88671875" style="61" customWidth="1"/>
    <col min="2562" max="2562" width="31.6640625" style="61" customWidth="1"/>
    <col min="2563" max="2563" width="12.77734375" style="61" customWidth="1"/>
    <col min="2564" max="2564" width="15.6640625" style="61" customWidth="1"/>
    <col min="2565" max="2565" width="14.6640625" style="61" customWidth="1"/>
    <col min="2566" max="2566" width="14.21875" style="61" customWidth="1"/>
    <col min="2567" max="2567" width="10.44140625" style="61" bestFit="1" customWidth="1"/>
    <col min="2568" max="2568" width="11.33203125" style="61" customWidth="1"/>
    <col min="2569" max="2569" width="25.33203125" style="61" customWidth="1"/>
    <col min="2570" max="2570" width="19.88671875" style="61" customWidth="1"/>
    <col min="2571" max="2571" width="10.77734375" style="61" customWidth="1"/>
    <col min="2572" max="2816" width="12.6640625" style="61"/>
    <col min="2817" max="2817" width="7.88671875" style="61" customWidth="1"/>
    <col min="2818" max="2818" width="31.6640625" style="61" customWidth="1"/>
    <col min="2819" max="2819" width="12.77734375" style="61" customWidth="1"/>
    <col min="2820" max="2820" width="15.6640625" style="61" customWidth="1"/>
    <col min="2821" max="2821" width="14.6640625" style="61" customWidth="1"/>
    <col min="2822" max="2822" width="14.21875" style="61" customWidth="1"/>
    <col min="2823" max="2823" width="10.44140625" style="61" bestFit="1" customWidth="1"/>
    <col min="2824" max="2824" width="11.33203125" style="61" customWidth="1"/>
    <col min="2825" max="2825" width="25.33203125" style="61" customWidth="1"/>
    <col min="2826" max="2826" width="19.88671875" style="61" customWidth="1"/>
    <col min="2827" max="2827" width="10.77734375" style="61" customWidth="1"/>
    <col min="2828" max="3072" width="12.6640625" style="61"/>
    <col min="3073" max="3073" width="7.88671875" style="61" customWidth="1"/>
    <col min="3074" max="3074" width="31.6640625" style="61" customWidth="1"/>
    <col min="3075" max="3075" width="12.77734375" style="61" customWidth="1"/>
    <col min="3076" max="3076" width="15.6640625" style="61" customWidth="1"/>
    <col min="3077" max="3077" width="14.6640625" style="61" customWidth="1"/>
    <col min="3078" max="3078" width="14.21875" style="61" customWidth="1"/>
    <col min="3079" max="3079" width="10.44140625" style="61" bestFit="1" customWidth="1"/>
    <col min="3080" max="3080" width="11.33203125" style="61" customWidth="1"/>
    <col min="3081" max="3081" width="25.33203125" style="61" customWidth="1"/>
    <col min="3082" max="3082" width="19.88671875" style="61" customWidth="1"/>
    <col min="3083" max="3083" width="10.77734375" style="61" customWidth="1"/>
    <col min="3084" max="3328" width="12.6640625" style="61"/>
    <col min="3329" max="3329" width="7.88671875" style="61" customWidth="1"/>
    <col min="3330" max="3330" width="31.6640625" style="61" customWidth="1"/>
    <col min="3331" max="3331" width="12.77734375" style="61" customWidth="1"/>
    <col min="3332" max="3332" width="15.6640625" style="61" customWidth="1"/>
    <col min="3333" max="3333" width="14.6640625" style="61" customWidth="1"/>
    <col min="3334" max="3334" width="14.21875" style="61" customWidth="1"/>
    <col min="3335" max="3335" width="10.44140625" style="61" bestFit="1" customWidth="1"/>
    <col min="3336" max="3336" width="11.33203125" style="61" customWidth="1"/>
    <col min="3337" max="3337" width="25.33203125" style="61" customWidth="1"/>
    <col min="3338" max="3338" width="19.88671875" style="61" customWidth="1"/>
    <col min="3339" max="3339" width="10.77734375" style="61" customWidth="1"/>
    <col min="3340" max="3584" width="12.6640625" style="61"/>
    <col min="3585" max="3585" width="7.88671875" style="61" customWidth="1"/>
    <col min="3586" max="3586" width="31.6640625" style="61" customWidth="1"/>
    <col min="3587" max="3587" width="12.77734375" style="61" customWidth="1"/>
    <col min="3588" max="3588" width="15.6640625" style="61" customWidth="1"/>
    <col min="3589" max="3589" width="14.6640625" style="61" customWidth="1"/>
    <col min="3590" max="3590" width="14.21875" style="61" customWidth="1"/>
    <col min="3591" max="3591" width="10.44140625" style="61" bestFit="1" customWidth="1"/>
    <col min="3592" max="3592" width="11.33203125" style="61" customWidth="1"/>
    <col min="3593" max="3593" width="25.33203125" style="61" customWidth="1"/>
    <col min="3594" max="3594" width="19.88671875" style="61" customWidth="1"/>
    <col min="3595" max="3595" width="10.77734375" style="61" customWidth="1"/>
    <col min="3596" max="3840" width="12.6640625" style="61"/>
    <col min="3841" max="3841" width="7.88671875" style="61" customWidth="1"/>
    <col min="3842" max="3842" width="31.6640625" style="61" customWidth="1"/>
    <col min="3843" max="3843" width="12.77734375" style="61" customWidth="1"/>
    <col min="3844" max="3844" width="15.6640625" style="61" customWidth="1"/>
    <col min="3845" max="3845" width="14.6640625" style="61" customWidth="1"/>
    <col min="3846" max="3846" width="14.21875" style="61" customWidth="1"/>
    <col min="3847" max="3847" width="10.44140625" style="61" bestFit="1" customWidth="1"/>
    <col min="3848" max="3848" width="11.33203125" style="61" customWidth="1"/>
    <col min="3849" max="3849" width="25.33203125" style="61" customWidth="1"/>
    <col min="3850" max="3850" width="19.88671875" style="61" customWidth="1"/>
    <col min="3851" max="3851" width="10.77734375" style="61" customWidth="1"/>
    <col min="3852" max="4096" width="12.6640625" style="61"/>
    <col min="4097" max="4097" width="7.88671875" style="61" customWidth="1"/>
    <col min="4098" max="4098" width="31.6640625" style="61" customWidth="1"/>
    <col min="4099" max="4099" width="12.77734375" style="61" customWidth="1"/>
    <col min="4100" max="4100" width="15.6640625" style="61" customWidth="1"/>
    <col min="4101" max="4101" width="14.6640625" style="61" customWidth="1"/>
    <col min="4102" max="4102" width="14.21875" style="61" customWidth="1"/>
    <col min="4103" max="4103" width="10.44140625" style="61" bestFit="1" customWidth="1"/>
    <col min="4104" max="4104" width="11.33203125" style="61" customWidth="1"/>
    <col min="4105" max="4105" width="25.33203125" style="61" customWidth="1"/>
    <col min="4106" max="4106" width="19.88671875" style="61" customWidth="1"/>
    <col min="4107" max="4107" width="10.77734375" style="61" customWidth="1"/>
    <col min="4108" max="4352" width="12.6640625" style="61"/>
    <col min="4353" max="4353" width="7.88671875" style="61" customWidth="1"/>
    <col min="4354" max="4354" width="31.6640625" style="61" customWidth="1"/>
    <col min="4355" max="4355" width="12.77734375" style="61" customWidth="1"/>
    <col min="4356" max="4356" width="15.6640625" style="61" customWidth="1"/>
    <col min="4357" max="4357" width="14.6640625" style="61" customWidth="1"/>
    <col min="4358" max="4358" width="14.21875" style="61" customWidth="1"/>
    <col min="4359" max="4359" width="10.44140625" style="61" bestFit="1" customWidth="1"/>
    <col min="4360" max="4360" width="11.33203125" style="61" customWidth="1"/>
    <col min="4361" max="4361" width="25.33203125" style="61" customWidth="1"/>
    <col min="4362" max="4362" width="19.88671875" style="61" customWidth="1"/>
    <col min="4363" max="4363" width="10.77734375" style="61" customWidth="1"/>
    <col min="4364" max="4608" width="12.6640625" style="61"/>
    <col min="4609" max="4609" width="7.88671875" style="61" customWidth="1"/>
    <col min="4610" max="4610" width="31.6640625" style="61" customWidth="1"/>
    <col min="4611" max="4611" width="12.77734375" style="61" customWidth="1"/>
    <col min="4612" max="4612" width="15.6640625" style="61" customWidth="1"/>
    <col min="4613" max="4613" width="14.6640625" style="61" customWidth="1"/>
    <col min="4614" max="4614" width="14.21875" style="61" customWidth="1"/>
    <col min="4615" max="4615" width="10.44140625" style="61" bestFit="1" customWidth="1"/>
    <col min="4616" max="4616" width="11.33203125" style="61" customWidth="1"/>
    <col min="4617" max="4617" width="25.33203125" style="61" customWidth="1"/>
    <col min="4618" max="4618" width="19.88671875" style="61" customWidth="1"/>
    <col min="4619" max="4619" width="10.77734375" style="61" customWidth="1"/>
    <col min="4620" max="4864" width="12.6640625" style="61"/>
    <col min="4865" max="4865" width="7.88671875" style="61" customWidth="1"/>
    <col min="4866" max="4866" width="31.6640625" style="61" customWidth="1"/>
    <col min="4867" max="4867" width="12.77734375" style="61" customWidth="1"/>
    <col min="4868" max="4868" width="15.6640625" style="61" customWidth="1"/>
    <col min="4869" max="4869" width="14.6640625" style="61" customWidth="1"/>
    <col min="4870" max="4870" width="14.21875" style="61" customWidth="1"/>
    <col min="4871" max="4871" width="10.44140625" style="61" bestFit="1" customWidth="1"/>
    <col min="4872" max="4872" width="11.33203125" style="61" customWidth="1"/>
    <col min="4873" max="4873" width="25.33203125" style="61" customWidth="1"/>
    <col min="4874" max="4874" width="19.88671875" style="61" customWidth="1"/>
    <col min="4875" max="4875" width="10.77734375" style="61" customWidth="1"/>
    <col min="4876" max="5120" width="12.6640625" style="61"/>
    <col min="5121" max="5121" width="7.88671875" style="61" customWidth="1"/>
    <col min="5122" max="5122" width="31.6640625" style="61" customWidth="1"/>
    <col min="5123" max="5123" width="12.77734375" style="61" customWidth="1"/>
    <col min="5124" max="5124" width="15.6640625" style="61" customWidth="1"/>
    <col min="5125" max="5125" width="14.6640625" style="61" customWidth="1"/>
    <col min="5126" max="5126" width="14.21875" style="61" customWidth="1"/>
    <col min="5127" max="5127" width="10.44140625" style="61" bestFit="1" customWidth="1"/>
    <col min="5128" max="5128" width="11.33203125" style="61" customWidth="1"/>
    <col min="5129" max="5129" width="25.33203125" style="61" customWidth="1"/>
    <col min="5130" max="5130" width="19.88671875" style="61" customWidth="1"/>
    <col min="5131" max="5131" width="10.77734375" style="61" customWidth="1"/>
    <col min="5132" max="5376" width="12.6640625" style="61"/>
    <col min="5377" max="5377" width="7.88671875" style="61" customWidth="1"/>
    <col min="5378" max="5378" width="31.6640625" style="61" customWidth="1"/>
    <col min="5379" max="5379" width="12.77734375" style="61" customWidth="1"/>
    <col min="5380" max="5380" width="15.6640625" style="61" customWidth="1"/>
    <col min="5381" max="5381" width="14.6640625" style="61" customWidth="1"/>
    <col min="5382" max="5382" width="14.21875" style="61" customWidth="1"/>
    <col min="5383" max="5383" width="10.44140625" style="61" bestFit="1" customWidth="1"/>
    <col min="5384" max="5384" width="11.33203125" style="61" customWidth="1"/>
    <col min="5385" max="5385" width="25.33203125" style="61" customWidth="1"/>
    <col min="5386" max="5386" width="19.88671875" style="61" customWidth="1"/>
    <col min="5387" max="5387" width="10.77734375" style="61" customWidth="1"/>
    <col min="5388" max="5632" width="12.6640625" style="61"/>
    <col min="5633" max="5633" width="7.88671875" style="61" customWidth="1"/>
    <col min="5634" max="5634" width="31.6640625" style="61" customWidth="1"/>
    <col min="5635" max="5635" width="12.77734375" style="61" customWidth="1"/>
    <col min="5636" max="5636" width="15.6640625" style="61" customWidth="1"/>
    <col min="5637" max="5637" width="14.6640625" style="61" customWidth="1"/>
    <col min="5638" max="5638" width="14.21875" style="61" customWidth="1"/>
    <col min="5639" max="5639" width="10.44140625" style="61" bestFit="1" customWidth="1"/>
    <col min="5640" max="5640" width="11.33203125" style="61" customWidth="1"/>
    <col min="5641" max="5641" width="25.33203125" style="61" customWidth="1"/>
    <col min="5642" max="5642" width="19.88671875" style="61" customWidth="1"/>
    <col min="5643" max="5643" width="10.77734375" style="61" customWidth="1"/>
    <col min="5644" max="5888" width="12.6640625" style="61"/>
    <col min="5889" max="5889" width="7.88671875" style="61" customWidth="1"/>
    <col min="5890" max="5890" width="31.6640625" style="61" customWidth="1"/>
    <col min="5891" max="5891" width="12.77734375" style="61" customWidth="1"/>
    <col min="5892" max="5892" width="15.6640625" style="61" customWidth="1"/>
    <col min="5893" max="5893" width="14.6640625" style="61" customWidth="1"/>
    <col min="5894" max="5894" width="14.21875" style="61" customWidth="1"/>
    <col min="5895" max="5895" width="10.44140625" style="61" bestFit="1" customWidth="1"/>
    <col min="5896" max="5896" width="11.33203125" style="61" customWidth="1"/>
    <col min="5897" max="5897" width="25.33203125" style="61" customWidth="1"/>
    <col min="5898" max="5898" width="19.88671875" style="61" customWidth="1"/>
    <col min="5899" max="5899" width="10.77734375" style="61" customWidth="1"/>
    <col min="5900" max="6144" width="12.6640625" style="61"/>
    <col min="6145" max="6145" width="7.88671875" style="61" customWidth="1"/>
    <col min="6146" max="6146" width="31.6640625" style="61" customWidth="1"/>
    <col min="6147" max="6147" width="12.77734375" style="61" customWidth="1"/>
    <col min="6148" max="6148" width="15.6640625" style="61" customWidth="1"/>
    <col min="6149" max="6149" width="14.6640625" style="61" customWidth="1"/>
    <col min="6150" max="6150" width="14.21875" style="61" customWidth="1"/>
    <col min="6151" max="6151" width="10.44140625" style="61" bestFit="1" customWidth="1"/>
    <col min="6152" max="6152" width="11.33203125" style="61" customWidth="1"/>
    <col min="6153" max="6153" width="25.33203125" style="61" customWidth="1"/>
    <col min="6154" max="6154" width="19.88671875" style="61" customWidth="1"/>
    <col min="6155" max="6155" width="10.77734375" style="61" customWidth="1"/>
    <col min="6156" max="6400" width="12.6640625" style="61"/>
    <col min="6401" max="6401" width="7.88671875" style="61" customWidth="1"/>
    <col min="6402" max="6402" width="31.6640625" style="61" customWidth="1"/>
    <col min="6403" max="6403" width="12.77734375" style="61" customWidth="1"/>
    <col min="6404" max="6404" width="15.6640625" style="61" customWidth="1"/>
    <col min="6405" max="6405" width="14.6640625" style="61" customWidth="1"/>
    <col min="6406" max="6406" width="14.21875" style="61" customWidth="1"/>
    <col min="6407" max="6407" width="10.44140625" style="61" bestFit="1" customWidth="1"/>
    <col min="6408" max="6408" width="11.33203125" style="61" customWidth="1"/>
    <col min="6409" max="6409" width="25.33203125" style="61" customWidth="1"/>
    <col min="6410" max="6410" width="19.88671875" style="61" customWidth="1"/>
    <col min="6411" max="6411" width="10.77734375" style="61" customWidth="1"/>
    <col min="6412" max="6656" width="12.6640625" style="61"/>
    <col min="6657" max="6657" width="7.88671875" style="61" customWidth="1"/>
    <col min="6658" max="6658" width="31.6640625" style="61" customWidth="1"/>
    <col min="6659" max="6659" width="12.77734375" style="61" customWidth="1"/>
    <col min="6660" max="6660" width="15.6640625" style="61" customWidth="1"/>
    <col min="6661" max="6661" width="14.6640625" style="61" customWidth="1"/>
    <col min="6662" max="6662" width="14.21875" style="61" customWidth="1"/>
    <col min="6663" max="6663" width="10.44140625" style="61" bestFit="1" customWidth="1"/>
    <col min="6664" max="6664" width="11.33203125" style="61" customWidth="1"/>
    <col min="6665" max="6665" width="25.33203125" style="61" customWidth="1"/>
    <col min="6666" max="6666" width="19.88671875" style="61" customWidth="1"/>
    <col min="6667" max="6667" width="10.77734375" style="61" customWidth="1"/>
    <col min="6668" max="6912" width="12.6640625" style="61"/>
    <col min="6913" max="6913" width="7.88671875" style="61" customWidth="1"/>
    <col min="6914" max="6914" width="31.6640625" style="61" customWidth="1"/>
    <col min="6915" max="6915" width="12.77734375" style="61" customWidth="1"/>
    <col min="6916" max="6916" width="15.6640625" style="61" customWidth="1"/>
    <col min="6917" max="6917" width="14.6640625" style="61" customWidth="1"/>
    <col min="6918" max="6918" width="14.21875" style="61" customWidth="1"/>
    <col min="6919" max="6919" width="10.44140625" style="61" bestFit="1" customWidth="1"/>
    <col min="6920" max="6920" width="11.33203125" style="61" customWidth="1"/>
    <col min="6921" max="6921" width="25.33203125" style="61" customWidth="1"/>
    <col min="6922" max="6922" width="19.88671875" style="61" customWidth="1"/>
    <col min="6923" max="6923" width="10.77734375" style="61" customWidth="1"/>
    <col min="6924" max="7168" width="12.6640625" style="61"/>
    <col min="7169" max="7169" width="7.88671875" style="61" customWidth="1"/>
    <col min="7170" max="7170" width="31.6640625" style="61" customWidth="1"/>
    <col min="7171" max="7171" width="12.77734375" style="61" customWidth="1"/>
    <col min="7172" max="7172" width="15.6640625" style="61" customWidth="1"/>
    <col min="7173" max="7173" width="14.6640625" style="61" customWidth="1"/>
    <col min="7174" max="7174" width="14.21875" style="61" customWidth="1"/>
    <col min="7175" max="7175" width="10.44140625" style="61" bestFit="1" customWidth="1"/>
    <col min="7176" max="7176" width="11.33203125" style="61" customWidth="1"/>
    <col min="7177" max="7177" width="25.33203125" style="61" customWidth="1"/>
    <col min="7178" max="7178" width="19.88671875" style="61" customWidth="1"/>
    <col min="7179" max="7179" width="10.77734375" style="61" customWidth="1"/>
    <col min="7180" max="7424" width="12.6640625" style="61"/>
    <col min="7425" max="7425" width="7.88671875" style="61" customWidth="1"/>
    <col min="7426" max="7426" width="31.6640625" style="61" customWidth="1"/>
    <col min="7427" max="7427" width="12.77734375" style="61" customWidth="1"/>
    <col min="7428" max="7428" width="15.6640625" style="61" customWidth="1"/>
    <col min="7429" max="7429" width="14.6640625" style="61" customWidth="1"/>
    <col min="7430" max="7430" width="14.21875" style="61" customWidth="1"/>
    <col min="7431" max="7431" width="10.44140625" style="61" bestFit="1" customWidth="1"/>
    <col min="7432" max="7432" width="11.33203125" style="61" customWidth="1"/>
    <col min="7433" max="7433" width="25.33203125" style="61" customWidth="1"/>
    <col min="7434" max="7434" width="19.88671875" style="61" customWidth="1"/>
    <col min="7435" max="7435" width="10.77734375" style="61" customWidth="1"/>
    <col min="7436" max="7680" width="12.6640625" style="61"/>
    <col min="7681" max="7681" width="7.88671875" style="61" customWidth="1"/>
    <col min="7682" max="7682" width="31.6640625" style="61" customWidth="1"/>
    <col min="7683" max="7683" width="12.77734375" style="61" customWidth="1"/>
    <col min="7684" max="7684" width="15.6640625" style="61" customWidth="1"/>
    <col min="7685" max="7685" width="14.6640625" style="61" customWidth="1"/>
    <col min="7686" max="7686" width="14.21875" style="61" customWidth="1"/>
    <col min="7687" max="7687" width="10.44140625" style="61" bestFit="1" customWidth="1"/>
    <col min="7688" max="7688" width="11.33203125" style="61" customWidth="1"/>
    <col min="7689" max="7689" width="25.33203125" style="61" customWidth="1"/>
    <col min="7690" max="7690" width="19.88671875" style="61" customWidth="1"/>
    <col min="7691" max="7691" width="10.77734375" style="61" customWidth="1"/>
    <col min="7692" max="7936" width="12.6640625" style="61"/>
    <col min="7937" max="7937" width="7.88671875" style="61" customWidth="1"/>
    <col min="7938" max="7938" width="31.6640625" style="61" customWidth="1"/>
    <col min="7939" max="7939" width="12.77734375" style="61" customWidth="1"/>
    <col min="7940" max="7940" width="15.6640625" style="61" customWidth="1"/>
    <col min="7941" max="7941" width="14.6640625" style="61" customWidth="1"/>
    <col min="7942" max="7942" width="14.21875" style="61" customWidth="1"/>
    <col min="7943" max="7943" width="10.44140625" style="61" bestFit="1" customWidth="1"/>
    <col min="7944" max="7944" width="11.33203125" style="61" customWidth="1"/>
    <col min="7945" max="7945" width="25.33203125" style="61" customWidth="1"/>
    <col min="7946" max="7946" width="19.88671875" style="61" customWidth="1"/>
    <col min="7947" max="7947" width="10.77734375" style="61" customWidth="1"/>
    <col min="7948" max="8192" width="12.6640625" style="61"/>
    <col min="8193" max="8193" width="7.88671875" style="61" customWidth="1"/>
    <col min="8194" max="8194" width="31.6640625" style="61" customWidth="1"/>
    <col min="8195" max="8195" width="12.77734375" style="61" customWidth="1"/>
    <col min="8196" max="8196" width="15.6640625" style="61" customWidth="1"/>
    <col min="8197" max="8197" width="14.6640625" style="61" customWidth="1"/>
    <col min="8198" max="8198" width="14.21875" style="61" customWidth="1"/>
    <col min="8199" max="8199" width="10.44140625" style="61" bestFit="1" customWidth="1"/>
    <col min="8200" max="8200" width="11.33203125" style="61" customWidth="1"/>
    <col min="8201" max="8201" width="25.33203125" style="61" customWidth="1"/>
    <col min="8202" max="8202" width="19.88671875" style="61" customWidth="1"/>
    <col min="8203" max="8203" width="10.77734375" style="61" customWidth="1"/>
    <col min="8204" max="8448" width="12.6640625" style="61"/>
    <col min="8449" max="8449" width="7.88671875" style="61" customWidth="1"/>
    <col min="8450" max="8450" width="31.6640625" style="61" customWidth="1"/>
    <col min="8451" max="8451" width="12.77734375" style="61" customWidth="1"/>
    <col min="8452" max="8452" width="15.6640625" style="61" customWidth="1"/>
    <col min="8453" max="8453" width="14.6640625" style="61" customWidth="1"/>
    <col min="8454" max="8454" width="14.21875" style="61" customWidth="1"/>
    <col min="8455" max="8455" width="10.44140625" style="61" bestFit="1" customWidth="1"/>
    <col min="8456" max="8456" width="11.33203125" style="61" customWidth="1"/>
    <col min="8457" max="8457" width="25.33203125" style="61" customWidth="1"/>
    <col min="8458" max="8458" width="19.88671875" style="61" customWidth="1"/>
    <col min="8459" max="8459" width="10.77734375" style="61" customWidth="1"/>
    <col min="8460" max="8704" width="12.6640625" style="61"/>
    <col min="8705" max="8705" width="7.88671875" style="61" customWidth="1"/>
    <col min="8706" max="8706" width="31.6640625" style="61" customWidth="1"/>
    <col min="8707" max="8707" width="12.77734375" style="61" customWidth="1"/>
    <col min="8708" max="8708" width="15.6640625" style="61" customWidth="1"/>
    <col min="8709" max="8709" width="14.6640625" style="61" customWidth="1"/>
    <col min="8710" max="8710" width="14.21875" style="61" customWidth="1"/>
    <col min="8711" max="8711" width="10.44140625" style="61" bestFit="1" customWidth="1"/>
    <col min="8712" max="8712" width="11.33203125" style="61" customWidth="1"/>
    <col min="8713" max="8713" width="25.33203125" style="61" customWidth="1"/>
    <col min="8714" max="8714" width="19.88671875" style="61" customWidth="1"/>
    <col min="8715" max="8715" width="10.77734375" style="61" customWidth="1"/>
    <col min="8716" max="8960" width="12.6640625" style="61"/>
    <col min="8961" max="8961" width="7.88671875" style="61" customWidth="1"/>
    <col min="8962" max="8962" width="31.6640625" style="61" customWidth="1"/>
    <col min="8963" max="8963" width="12.77734375" style="61" customWidth="1"/>
    <col min="8964" max="8964" width="15.6640625" style="61" customWidth="1"/>
    <col min="8965" max="8965" width="14.6640625" style="61" customWidth="1"/>
    <col min="8966" max="8966" width="14.21875" style="61" customWidth="1"/>
    <col min="8967" max="8967" width="10.44140625" style="61" bestFit="1" customWidth="1"/>
    <col min="8968" max="8968" width="11.33203125" style="61" customWidth="1"/>
    <col min="8969" max="8969" width="25.33203125" style="61" customWidth="1"/>
    <col min="8970" max="8970" width="19.88671875" style="61" customWidth="1"/>
    <col min="8971" max="8971" width="10.77734375" style="61" customWidth="1"/>
    <col min="8972" max="9216" width="12.6640625" style="61"/>
    <col min="9217" max="9217" width="7.88671875" style="61" customWidth="1"/>
    <col min="9218" max="9218" width="31.6640625" style="61" customWidth="1"/>
    <col min="9219" max="9219" width="12.77734375" style="61" customWidth="1"/>
    <col min="9220" max="9220" width="15.6640625" style="61" customWidth="1"/>
    <col min="9221" max="9221" width="14.6640625" style="61" customWidth="1"/>
    <col min="9222" max="9222" width="14.21875" style="61" customWidth="1"/>
    <col min="9223" max="9223" width="10.44140625" style="61" bestFit="1" customWidth="1"/>
    <col min="9224" max="9224" width="11.33203125" style="61" customWidth="1"/>
    <col min="9225" max="9225" width="25.33203125" style="61" customWidth="1"/>
    <col min="9226" max="9226" width="19.88671875" style="61" customWidth="1"/>
    <col min="9227" max="9227" width="10.77734375" style="61" customWidth="1"/>
    <col min="9228" max="9472" width="12.6640625" style="61"/>
    <col min="9473" max="9473" width="7.88671875" style="61" customWidth="1"/>
    <col min="9474" max="9474" width="31.6640625" style="61" customWidth="1"/>
    <col min="9475" max="9475" width="12.77734375" style="61" customWidth="1"/>
    <col min="9476" max="9476" width="15.6640625" style="61" customWidth="1"/>
    <col min="9477" max="9477" width="14.6640625" style="61" customWidth="1"/>
    <col min="9478" max="9478" width="14.21875" style="61" customWidth="1"/>
    <col min="9479" max="9479" width="10.44140625" style="61" bestFit="1" customWidth="1"/>
    <col min="9480" max="9480" width="11.33203125" style="61" customWidth="1"/>
    <col min="9481" max="9481" width="25.33203125" style="61" customWidth="1"/>
    <col min="9482" max="9482" width="19.88671875" style="61" customWidth="1"/>
    <col min="9483" max="9483" width="10.77734375" style="61" customWidth="1"/>
    <col min="9484" max="9728" width="12.6640625" style="61"/>
    <col min="9729" max="9729" width="7.88671875" style="61" customWidth="1"/>
    <col min="9730" max="9730" width="31.6640625" style="61" customWidth="1"/>
    <col min="9731" max="9731" width="12.77734375" style="61" customWidth="1"/>
    <col min="9732" max="9732" width="15.6640625" style="61" customWidth="1"/>
    <col min="9733" max="9733" width="14.6640625" style="61" customWidth="1"/>
    <col min="9734" max="9734" width="14.21875" style="61" customWidth="1"/>
    <col min="9735" max="9735" width="10.44140625" style="61" bestFit="1" customWidth="1"/>
    <col min="9736" max="9736" width="11.33203125" style="61" customWidth="1"/>
    <col min="9737" max="9737" width="25.33203125" style="61" customWidth="1"/>
    <col min="9738" max="9738" width="19.88671875" style="61" customWidth="1"/>
    <col min="9739" max="9739" width="10.77734375" style="61" customWidth="1"/>
    <col min="9740" max="9984" width="12.6640625" style="61"/>
    <col min="9985" max="9985" width="7.88671875" style="61" customWidth="1"/>
    <col min="9986" max="9986" width="31.6640625" style="61" customWidth="1"/>
    <col min="9987" max="9987" width="12.77734375" style="61" customWidth="1"/>
    <col min="9988" max="9988" width="15.6640625" style="61" customWidth="1"/>
    <col min="9989" max="9989" width="14.6640625" style="61" customWidth="1"/>
    <col min="9990" max="9990" width="14.21875" style="61" customWidth="1"/>
    <col min="9991" max="9991" width="10.44140625" style="61" bestFit="1" customWidth="1"/>
    <col min="9992" max="9992" width="11.33203125" style="61" customWidth="1"/>
    <col min="9993" max="9993" width="25.33203125" style="61" customWidth="1"/>
    <col min="9994" max="9994" width="19.88671875" style="61" customWidth="1"/>
    <col min="9995" max="9995" width="10.77734375" style="61" customWidth="1"/>
    <col min="9996" max="10240" width="12.6640625" style="61"/>
    <col min="10241" max="10241" width="7.88671875" style="61" customWidth="1"/>
    <col min="10242" max="10242" width="31.6640625" style="61" customWidth="1"/>
    <col min="10243" max="10243" width="12.77734375" style="61" customWidth="1"/>
    <col min="10244" max="10244" width="15.6640625" style="61" customWidth="1"/>
    <col min="10245" max="10245" width="14.6640625" style="61" customWidth="1"/>
    <col min="10246" max="10246" width="14.21875" style="61" customWidth="1"/>
    <col min="10247" max="10247" width="10.44140625" style="61" bestFit="1" customWidth="1"/>
    <col min="10248" max="10248" width="11.33203125" style="61" customWidth="1"/>
    <col min="10249" max="10249" width="25.33203125" style="61" customWidth="1"/>
    <col min="10250" max="10250" width="19.88671875" style="61" customWidth="1"/>
    <col min="10251" max="10251" width="10.77734375" style="61" customWidth="1"/>
    <col min="10252" max="10496" width="12.6640625" style="61"/>
    <col min="10497" max="10497" width="7.88671875" style="61" customWidth="1"/>
    <col min="10498" max="10498" width="31.6640625" style="61" customWidth="1"/>
    <col min="10499" max="10499" width="12.77734375" style="61" customWidth="1"/>
    <col min="10500" max="10500" width="15.6640625" style="61" customWidth="1"/>
    <col min="10501" max="10501" width="14.6640625" style="61" customWidth="1"/>
    <col min="10502" max="10502" width="14.21875" style="61" customWidth="1"/>
    <col min="10503" max="10503" width="10.44140625" style="61" bestFit="1" customWidth="1"/>
    <col min="10504" max="10504" width="11.33203125" style="61" customWidth="1"/>
    <col min="10505" max="10505" width="25.33203125" style="61" customWidth="1"/>
    <col min="10506" max="10506" width="19.88671875" style="61" customWidth="1"/>
    <col min="10507" max="10507" width="10.77734375" style="61" customWidth="1"/>
    <col min="10508" max="10752" width="12.6640625" style="61"/>
    <col min="10753" max="10753" width="7.88671875" style="61" customWidth="1"/>
    <col min="10754" max="10754" width="31.6640625" style="61" customWidth="1"/>
    <col min="10755" max="10755" width="12.77734375" style="61" customWidth="1"/>
    <col min="10756" max="10756" width="15.6640625" style="61" customWidth="1"/>
    <col min="10757" max="10757" width="14.6640625" style="61" customWidth="1"/>
    <col min="10758" max="10758" width="14.21875" style="61" customWidth="1"/>
    <col min="10759" max="10759" width="10.44140625" style="61" bestFit="1" customWidth="1"/>
    <col min="10760" max="10760" width="11.33203125" style="61" customWidth="1"/>
    <col min="10761" max="10761" width="25.33203125" style="61" customWidth="1"/>
    <col min="10762" max="10762" width="19.88671875" style="61" customWidth="1"/>
    <col min="10763" max="10763" width="10.77734375" style="61" customWidth="1"/>
    <col min="10764" max="11008" width="12.6640625" style="61"/>
    <col min="11009" max="11009" width="7.88671875" style="61" customWidth="1"/>
    <col min="11010" max="11010" width="31.6640625" style="61" customWidth="1"/>
    <col min="11011" max="11011" width="12.77734375" style="61" customWidth="1"/>
    <col min="11012" max="11012" width="15.6640625" style="61" customWidth="1"/>
    <col min="11013" max="11013" width="14.6640625" style="61" customWidth="1"/>
    <col min="11014" max="11014" width="14.21875" style="61" customWidth="1"/>
    <col min="11015" max="11015" width="10.44140625" style="61" bestFit="1" customWidth="1"/>
    <col min="11016" max="11016" width="11.33203125" style="61" customWidth="1"/>
    <col min="11017" max="11017" width="25.33203125" style="61" customWidth="1"/>
    <col min="11018" max="11018" width="19.88671875" style="61" customWidth="1"/>
    <col min="11019" max="11019" width="10.77734375" style="61" customWidth="1"/>
    <col min="11020" max="11264" width="12.6640625" style="61"/>
    <col min="11265" max="11265" width="7.88671875" style="61" customWidth="1"/>
    <col min="11266" max="11266" width="31.6640625" style="61" customWidth="1"/>
    <col min="11267" max="11267" width="12.77734375" style="61" customWidth="1"/>
    <col min="11268" max="11268" width="15.6640625" style="61" customWidth="1"/>
    <col min="11269" max="11269" width="14.6640625" style="61" customWidth="1"/>
    <col min="11270" max="11270" width="14.21875" style="61" customWidth="1"/>
    <col min="11271" max="11271" width="10.44140625" style="61" bestFit="1" customWidth="1"/>
    <col min="11272" max="11272" width="11.33203125" style="61" customWidth="1"/>
    <col min="11273" max="11273" width="25.33203125" style="61" customWidth="1"/>
    <col min="11274" max="11274" width="19.88671875" style="61" customWidth="1"/>
    <col min="11275" max="11275" width="10.77734375" style="61" customWidth="1"/>
    <col min="11276" max="11520" width="12.6640625" style="61"/>
    <col min="11521" max="11521" width="7.88671875" style="61" customWidth="1"/>
    <col min="11522" max="11522" width="31.6640625" style="61" customWidth="1"/>
    <col min="11523" max="11523" width="12.77734375" style="61" customWidth="1"/>
    <col min="11524" max="11524" width="15.6640625" style="61" customWidth="1"/>
    <col min="11525" max="11525" width="14.6640625" style="61" customWidth="1"/>
    <col min="11526" max="11526" width="14.21875" style="61" customWidth="1"/>
    <col min="11527" max="11527" width="10.44140625" style="61" bestFit="1" customWidth="1"/>
    <col min="11528" max="11528" width="11.33203125" style="61" customWidth="1"/>
    <col min="11529" max="11529" width="25.33203125" style="61" customWidth="1"/>
    <col min="11530" max="11530" width="19.88671875" style="61" customWidth="1"/>
    <col min="11531" max="11531" width="10.77734375" style="61" customWidth="1"/>
    <col min="11532" max="11776" width="12.6640625" style="61"/>
    <col min="11777" max="11777" width="7.88671875" style="61" customWidth="1"/>
    <col min="11778" max="11778" width="31.6640625" style="61" customWidth="1"/>
    <col min="11779" max="11779" width="12.77734375" style="61" customWidth="1"/>
    <col min="11780" max="11780" width="15.6640625" style="61" customWidth="1"/>
    <col min="11781" max="11781" width="14.6640625" style="61" customWidth="1"/>
    <col min="11782" max="11782" width="14.21875" style="61" customWidth="1"/>
    <col min="11783" max="11783" width="10.44140625" style="61" bestFit="1" customWidth="1"/>
    <col min="11784" max="11784" width="11.33203125" style="61" customWidth="1"/>
    <col min="11785" max="11785" width="25.33203125" style="61" customWidth="1"/>
    <col min="11786" max="11786" width="19.88671875" style="61" customWidth="1"/>
    <col min="11787" max="11787" width="10.77734375" style="61" customWidth="1"/>
    <col min="11788" max="12032" width="12.6640625" style="61"/>
    <col min="12033" max="12033" width="7.88671875" style="61" customWidth="1"/>
    <col min="12034" max="12034" width="31.6640625" style="61" customWidth="1"/>
    <col min="12035" max="12035" width="12.77734375" style="61" customWidth="1"/>
    <col min="12036" max="12036" width="15.6640625" style="61" customWidth="1"/>
    <col min="12037" max="12037" width="14.6640625" style="61" customWidth="1"/>
    <col min="12038" max="12038" width="14.21875" style="61" customWidth="1"/>
    <col min="12039" max="12039" width="10.44140625" style="61" bestFit="1" customWidth="1"/>
    <col min="12040" max="12040" width="11.33203125" style="61" customWidth="1"/>
    <col min="12041" max="12041" width="25.33203125" style="61" customWidth="1"/>
    <col min="12042" max="12042" width="19.88671875" style="61" customWidth="1"/>
    <col min="12043" max="12043" width="10.77734375" style="61" customWidth="1"/>
    <col min="12044" max="12288" width="12.6640625" style="61"/>
    <col min="12289" max="12289" width="7.88671875" style="61" customWidth="1"/>
    <col min="12290" max="12290" width="31.6640625" style="61" customWidth="1"/>
    <col min="12291" max="12291" width="12.77734375" style="61" customWidth="1"/>
    <col min="12292" max="12292" width="15.6640625" style="61" customWidth="1"/>
    <col min="12293" max="12293" width="14.6640625" style="61" customWidth="1"/>
    <col min="12294" max="12294" width="14.21875" style="61" customWidth="1"/>
    <col min="12295" max="12295" width="10.44140625" style="61" bestFit="1" customWidth="1"/>
    <col min="12296" max="12296" width="11.33203125" style="61" customWidth="1"/>
    <col min="12297" max="12297" width="25.33203125" style="61" customWidth="1"/>
    <col min="12298" max="12298" width="19.88671875" style="61" customWidth="1"/>
    <col min="12299" max="12299" width="10.77734375" style="61" customWidth="1"/>
    <col min="12300" max="12544" width="12.6640625" style="61"/>
    <col min="12545" max="12545" width="7.88671875" style="61" customWidth="1"/>
    <col min="12546" max="12546" width="31.6640625" style="61" customWidth="1"/>
    <col min="12547" max="12547" width="12.77734375" style="61" customWidth="1"/>
    <col min="12548" max="12548" width="15.6640625" style="61" customWidth="1"/>
    <col min="12549" max="12549" width="14.6640625" style="61" customWidth="1"/>
    <col min="12550" max="12550" width="14.21875" style="61" customWidth="1"/>
    <col min="12551" max="12551" width="10.44140625" style="61" bestFit="1" customWidth="1"/>
    <col min="12552" max="12552" width="11.33203125" style="61" customWidth="1"/>
    <col min="12553" max="12553" width="25.33203125" style="61" customWidth="1"/>
    <col min="12554" max="12554" width="19.88671875" style="61" customWidth="1"/>
    <col min="12555" max="12555" width="10.77734375" style="61" customWidth="1"/>
    <col min="12556" max="12800" width="12.6640625" style="61"/>
    <col min="12801" max="12801" width="7.88671875" style="61" customWidth="1"/>
    <col min="12802" max="12802" width="31.6640625" style="61" customWidth="1"/>
    <col min="12803" max="12803" width="12.77734375" style="61" customWidth="1"/>
    <col min="12804" max="12804" width="15.6640625" style="61" customWidth="1"/>
    <col min="12805" max="12805" width="14.6640625" style="61" customWidth="1"/>
    <col min="12806" max="12806" width="14.21875" style="61" customWidth="1"/>
    <col min="12807" max="12807" width="10.44140625" style="61" bestFit="1" customWidth="1"/>
    <col min="12808" max="12808" width="11.33203125" style="61" customWidth="1"/>
    <col min="12809" max="12809" width="25.33203125" style="61" customWidth="1"/>
    <col min="12810" max="12810" width="19.88671875" style="61" customWidth="1"/>
    <col min="12811" max="12811" width="10.77734375" style="61" customWidth="1"/>
    <col min="12812" max="13056" width="12.6640625" style="61"/>
    <col min="13057" max="13057" width="7.88671875" style="61" customWidth="1"/>
    <col min="13058" max="13058" width="31.6640625" style="61" customWidth="1"/>
    <col min="13059" max="13059" width="12.77734375" style="61" customWidth="1"/>
    <col min="13060" max="13060" width="15.6640625" style="61" customWidth="1"/>
    <col min="13061" max="13061" width="14.6640625" style="61" customWidth="1"/>
    <col min="13062" max="13062" width="14.21875" style="61" customWidth="1"/>
    <col min="13063" max="13063" width="10.44140625" style="61" bestFit="1" customWidth="1"/>
    <col min="13064" max="13064" width="11.33203125" style="61" customWidth="1"/>
    <col min="13065" max="13065" width="25.33203125" style="61" customWidth="1"/>
    <col min="13066" max="13066" width="19.88671875" style="61" customWidth="1"/>
    <col min="13067" max="13067" width="10.77734375" style="61" customWidth="1"/>
    <col min="13068" max="13312" width="12.6640625" style="61"/>
    <col min="13313" max="13313" width="7.88671875" style="61" customWidth="1"/>
    <col min="13314" max="13314" width="31.6640625" style="61" customWidth="1"/>
    <col min="13315" max="13315" width="12.77734375" style="61" customWidth="1"/>
    <col min="13316" max="13316" width="15.6640625" style="61" customWidth="1"/>
    <col min="13317" max="13317" width="14.6640625" style="61" customWidth="1"/>
    <col min="13318" max="13318" width="14.21875" style="61" customWidth="1"/>
    <col min="13319" max="13319" width="10.44140625" style="61" bestFit="1" customWidth="1"/>
    <col min="13320" max="13320" width="11.33203125" style="61" customWidth="1"/>
    <col min="13321" max="13321" width="25.33203125" style="61" customWidth="1"/>
    <col min="13322" max="13322" width="19.88671875" style="61" customWidth="1"/>
    <col min="13323" max="13323" width="10.77734375" style="61" customWidth="1"/>
    <col min="13324" max="13568" width="12.6640625" style="61"/>
    <col min="13569" max="13569" width="7.88671875" style="61" customWidth="1"/>
    <col min="13570" max="13570" width="31.6640625" style="61" customWidth="1"/>
    <col min="13571" max="13571" width="12.77734375" style="61" customWidth="1"/>
    <col min="13572" max="13572" width="15.6640625" style="61" customWidth="1"/>
    <col min="13573" max="13573" width="14.6640625" style="61" customWidth="1"/>
    <col min="13574" max="13574" width="14.21875" style="61" customWidth="1"/>
    <col min="13575" max="13575" width="10.44140625" style="61" bestFit="1" customWidth="1"/>
    <col min="13576" max="13576" width="11.33203125" style="61" customWidth="1"/>
    <col min="13577" max="13577" width="25.33203125" style="61" customWidth="1"/>
    <col min="13578" max="13578" width="19.88671875" style="61" customWidth="1"/>
    <col min="13579" max="13579" width="10.77734375" style="61" customWidth="1"/>
    <col min="13580" max="13824" width="12.6640625" style="61"/>
    <col min="13825" max="13825" width="7.88671875" style="61" customWidth="1"/>
    <col min="13826" max="13826" width="31.6640625" style="61" customWidth="1"/>
    <col min="13827" max="13827" width="12.77734375" style="61" customWidth="1"/>
    <col min="13828" max="13828" width="15.6640625" style="61" customWidth="1"/>
    <col min="13829" max="13829" width="14.6640625" style="61" customWidth="1"/>
    <col min="13830" max="13830" width="14.21875" style="61" customWidth="1"/>
    <col min="13831" max="13831" width="10.44140625" style="61" bestFit="1" customWidth="1"/>
    <col min="13832" max="13832" width="11.33203125" style="61" customWidth="1"/>
    <col min="13833" max="13833" width="25.33203125" style="61" customWidth="1"/>
    <col min="13834" max="13834" width="19.88671875" style="61" customWidth="1"/>
    <col min="13835" max="13835" width="10.77734375" style="61" customWidth="1"/>
    <col min="13836" max="14080" width="12.6640625" style="61"/>
    <col min="14081" max="14081" width="7.88671875" style="61" customWidth="1"/>
    <col min="14082" max="14082" width="31.6640625" style="61" customWidth="1"/>
    <col min="14083" max="14083" width="12.77734375" style="61" customWidth="1"/>
    <col min="14084" max="14084" width="15.6640625" style="61" customWidth="1"/>
    <col min="14085" max="14085" width="14.6640625" style="61" customWidth="1"/>
    <col min="14086" max="14086" width="14.21875" style="61" customWidth="1"/>
    <col min="14087" max="14087" width="10.44140625" style="61" bestFit="1" customWidth="1"/>
    <col min="14088" max="14088" width="11.33203125" style="61" customWidth="1"/>
    <col min="14089" max="14089" width="25.33203125" style="61" customWidth="1"/>
    <col min="14090" max="14090" width="19.88671875" style="61" customWidth="1"/>
    <col min="14091" max="14091" width="10.77734375" style="61" customWidth="1"/>
    <col min="14092" max="14336" width="12.6640625" style="61"/>
    <col min="14337" max="14337" width="7.88671875" style="61" customWidth="1"/>
    <col min="14338" max="14338" width="31.6640625" style="61" customWidth="1"/>
    <col min="14339" max="14339" width="12.77734375" style="61" customWidth="1"/>
    <col min="14340" max="14340" width="15.6640625" style="61" customWidth="1"/>
    <col min="14341" max="14341" width="14.6640625" style="61" customWidth="1"/>
    <col min="14342" max="14342" width="14.21875" style="61" customWidth="1"/>
    <col min="14343" max="14343" width="10.44140625" style="61" bestFit="1" customWidth="1"/>
    <col min="14344" max="14344" width="11.33203125" style="61" customWidth="1"/>
    <col min="14345" max="14345" width="25.33203125" style="61" customWidth="1"/>
    <col min="14346" max="14346" width="19.88671875" style="61" customWidth="1"/>
    <col min="14347" max="14347" width="10.77734375" style="61" customWidth="1"/>
    <col min="14348" max="14592" width="12.6640625" style="61"/>
    <col min="14593" max="14593" width="7.88671875" style="61" customWidth="1"/>
    <col min="14594" max="14594" width="31.6640625" style="61" customWidth="1"/>
    <col min="14595" max="14595" width="12.77734375" style="61" customWidth="1"/>
    <col min="14596" max="14596" width="15.6640625" style="61" customWidth="1"/>
    <col min="14597" max="14597" width="14.6640625" style="61" customWidth="1"/>
    <col min="14598" max="14598" width="14.21875" style="61" customWidth="1"/>
    <col min="14599" max="14599" width="10.44140625" style="61" bestFit="1" customWidth="1"/>
    <col min="14600" max="14600" width="11.33203125" style="61" customWidth="1"/>
    <col min="14601" max="14601" width="25.33203125" style="61" customWidth="1"/>
    <col min="14602" max="14602" width="19.88671875" style="61" customWidth="1"/>
    <col min="14603" max="14603" width="10.77734375" style="61" customWidth="1"/>
    <col min="14604" max="14848" width="12.6640625" style="61"/>
    <col min="14849" max="14849" width="7.88671875" style="61" customWidth="1"/>
    <col min="14850" max="14850" width="31.6640625" style="61" customWidth="1"/>
    <col min="14851" max="14851" width="12.77734375" style="61" customWidth="1"/>
    <col min="14852" max="14852" width="15.6640625" style="61" customWidth="1"/>
    <col min="14853" max="14853" width="14.6640625" style="61" customWidth="1"/>
    <col min="14854" max="14854" width="14.21875" style="61" customWidth="1"/>
    <col min="14855" max="14855" width="10.44140625" style="61" bestFit="1" customWidth="1"/>
    <col min="14856" max="14856" width="11.33203125" style="61" customWidth="1"/>
    <col min="14857" max="14857" width="25.33203125" style="61" customWidth="1"/>
    <col min="14858" max="14858" width="19.88671875" style="61" customWidth="1"/>
    <col min="14859" max="14859" width="10.77734375" style="61" customWidth="1"/>
    <col min="14860" max="15104" width="12.6640625" style="61"/>
    <col min="15105" max="15105" width="7.88671875" style="61" customWidth="1"/>
    <col min="15106" max="15106" width="31.6640625" style="61" customWidth="1"/>
    <col min="15107" max="15107" width="12.77734375" style="61" customWidth="1"/>
    <col min="15108" max="15108" width="15.6640625" style="61" customWidth="1"/>
    <col min="15109" max="15109" width="14.6640625" style="61" customWidth="1"/>
    <col min="15110" max="15110" width="14.21875" style="61" customWidth="1"/>
    <col min="15111" max="15111" width="10.44140625" style="61" bestFit="1" customWidth="1"/>
    <col min="15112" max="15112" width="11.33203125" style="61" customWidth="1"/>
    <col min="15113" max="15113" width="25.33203125" style="61" customWidth="1"/>
    <col min="15114" max="15114" width="19.88671875" style="61" customWidth="1"/>
    <col min="15115" max="15115" width="10.77734375" style="61" customWidth="1"/>
    <col min="15116" max="15360" width="12.6640625" style="61"/>
    <col min="15361" max="15361" width="7.88671875" style="61" customWidth="1"/>
    <col min="15362" max="15362" width="31.6640625" style="61" customWidth="1"/>
    <col min="15363" max="15363" width="12.77734375" style="61" customWidth="1"/>
    <col min="15364" max="15364" width="15.6640625" style="61" customWidth="1"/>
    <col min="15365" max="15365" width="14.6640625" style="61" customWidth="1"/>
    <col min="15366" max="15366" width="14.21875" style="61" customWidth="1"/>
    <col min="15367" max="15367" width="10.44140625" style="61" bestFit="1" customWidth="1"/>
    <col min="15368" max="15368" width="11.33203125" style="61" customWidth="1"/>
    <col min="15369" max="15369" width="25.33203125" style="61" customWidth="1"/>
    <col min="15370" max="15370" width="19.88671875" style="61" customWidth="1"/>
    <col min="15371" max="15371" width="10.77734375" style="61" customWidth="1"/>
    <col min="15372" max="15616" width="12.6640625" style="61"/>
    <col min="15617" max="15617" width="7.88671875" style="61" customWidth="1"/>
    <col min="15618" max="15618" width="31.6640625" style="61" customWidth="1"/>
    <col min="15619" max="15619" width="12.77734375" style="61" customWidth="1"/>
    <col min="15620" max="15620" width="15.6640625" style="61" customWidth="1"/>
    <col min="15621" max="15621" width="14.6640625" style="61" customWidth="1"/>
    <col min="15622" max="15622" width="14.21875" style="61" customWidth="1"/>
    <col min="15623" max="15623" width="10.44140625" style="61" bestFit="1" customWidth="1"/>
    <col min="15624" max="15624" width="11.33203125" style="61" customWidth="1"/>
    <col min="15625" max="15625" width="25.33203125" style="61" customWidth="1"/>
    <col min="15626" max="15626" width="19.88671875" style="61" customWidth="1"/>
    <col min="15627" max="15627" width="10.77734375" style="61" customWidth="1"/>
    <col min="15628" max="15872" width="12.6640625" style="61"/>
    <col min="15873" max="15873" width="7.88671875" style="61" customWidth="1"/>
    <col min="15874" max="15874" width="31.6640625" style="61" customWidth="1"/>
    <col min="15875" max="15875" width="12.77734375" style="61" customWidth="1"/>
    <col min="15876" max="15876" width="15.6640625" style="61" customWidth="1"/>
    <col min="15877" max="15877" width="14.6640625" style="61" customWidth="1"/>
    <col min="15878" max="15878" width="14.21875" style="61" customWidth="1"/>
    <col min="15879" max="15879" width="10.44140625" style="61" bestFit="1" customWidth="1"/>
    <col min="15880" max="15880" width="11.33203125" style="61" customWidth="1"/>
    <col min="15881" max="15881" width="25.33203125" style="61" customWidth="1"/>
    <col min="15882" max="15882" width="19.88671875" style="61" customWidth="1"/>
    <col min="15883" max="15883" width="10.77734375" style="61" customWidth="1"/>
    <col min="15884" max="16128" width="12.6640625" style="61"/>
    <col min="16129" max="16129" width="7.88671875" style="61" customWidth="1"/>
    <col min="16130" max="16130" width="31.6640625" style="61" customWidth="1"/>
    <col min="16131" max="16131" width="12.77734375" style="61" customWidth="1"/>
    <col min="16132" max="16132" width="15.6640625" style="61" customWidth="1"/>
    <col min="16133" max="16133" width="14.6640625" style="61" customWidth="1"/>
    <col min="16134" max="16134" width="14.21875" style="61" customWidth="1"/>
    <col min="16135" max="16135" width="10.44140625" style="61" bestFit="1" customWidth="1"/>
    <col min="16136" max="16136" width="11.33203125" style="61" customWidth="1"/>
    <col min="16137" max="16137" width="25.33203125" style="61" customWidth="1"/>
    <col min="16138" max="16138" width="19.88671875" style="61" customWidth="1"/>
    <col min="16139" max="16139" width="10.77734375" style="61" customWidth="1"/>
    <col min="16140" max="16384" width="12.6640625" style="61"/>
  </cols>
  <sheetData>
    <row r="1" spans="1:11" ht="26.25" customHeight="1" thickBot="1">
      <c r="A1" s="532" t="s">
        <v>474</v>
      </c>
      <c r="B1" s="533"/>
      <c r="C1" s="533"/>
      <c r="D1" s="533"/>
      <c r="E1" s="533"/>
      <c r="F1" s="533"/>
      <c r="G1" s="533"/>
      <c r="H1" s="533"/>
      <c r="I1" s="533"/>
      <c r="J1" s="61"/>
      <c r="K1" s="61"/>
    </row>
    <row r="2" spans="1:11" ht="30" customHeight="1" thickTop="1" thickBot="1">
      <c r="A2" s="529" t="s">
        <v>360</v>
      </c>
      <c r="B2" s="530"/>
      <c r="C2" s="530"/>
      <c r="D2" s="530"/>
      <c r="E2" s="530"/>
      <c r="F2" s="530"/>
      <c r="G2" s="530"/>
      <c r="H2" s="530"/>
      <c r="I2" s="531"/>
      <c r="J2" s="61"/>
      <c r="K2" s="61"/>
    </row>
    <row r="3" spans="1:11" ht="26.25" customHeight="1" thickTop="1" thickBot="1">
      <c r="A3" s="62"/>
      <c r="B3" s="63" t="s">
        <v>119</v>
      </c>
      <c r="C3" s="63" t="s">
        <v>5</v>
      </c>
      <c r="D3" s="63" t="s">
        <v>475</v>
      </c>
      <c r="E3" s="63" t="s">
        <v>476</v>
      </c>
      <c r="F3" s="63" t="s">
        <v>477</v>
      </c>
      <c r="G3" s="64"/>
      <c r="H3" s="64"/>
      <c r="I3" s="65" t="s">
        <v>478</v>
      </c>
      <c r="J3" s="61"/>
      <c r="K3" s="61"/>
    </row>
    <row r="4" spans="1:11" ht="26.25" customHeight="1" thickTop="1">
      <c r="A4" s="66"/>
      <c r="B4" s="67"/>
      <c r="C4" s="68"/>
      <c r="D4" s="69"/>
      <c r="E4" s="70"/>
      <c r="F4" s="68"/>
      <c r="G4" s="71"/>
      <c r="H4" s="71"/>
      <c r="I4" s="72"/>
      <c r="J4" s="61"/>
      <c r="K4" s="61"/>
    </row>
    <row r="5" spans="1:11" ht="26.25" customHeight="1">
      <c r="A5" s="599">
        <v>1</v>
      </c>
      <c r="B5" s="600" t="s">
        <v>479</v>
      </c>
      <c r="C5" s="68"/>
      <c r="D5" s="69"/>
      <c r="E5" s="70"/>
      <c r="F5" s="68"/>
      <c r="G5" s="71"/>
      <c r="H5" s="71"/>
      <c r="I5" s="72"/>
      <c r="J5" s="61"/>
      <c r="K5" s="61"/>
    </row>
    <row r="6" spans="1:11" ht="26.25" customHeight="1">
      <c r="A6" s="601">
        <f>A5+0.1</f>
        <v>1.1000000000000001</v>
      </c>
      <c r="B6" s="602" t="s">
        <v>480</v>
      </c>
      <c r="C6" s="603">
        <v>3.6</v>
      </c>
      <c r="D6" s="604">
        <v>0.05</v>
      </c>
      <c r="E6" s="605">
        <v>0.3</v>
      </c>
      <c r="F6" s="603"/>
      <c r="G6" s="603"/>
      <c r="H6" s="603"/>
      <c r="I6" s="606">
        <f t="shared" ref="I6:I9" si="0">(C6-D6)+E6+F6</f>
        <v>3.85</v>
      </c>
      <c r="J6" s="61"/>
      <c r="K6" s="61"/>
    </row>
    <row r="7" spans="1:11" ht="26.25" customHeight="1">
      <c r="A7" s="601">
        <f>A6+0.1</f>
        <v>1.2</v>
      </c>
      <c r="B7" s="602" t="s">
        <v>481</v>
      </c>
      <c r="C7" s="603">
        <v>6.6</v>
      </c>
      <c r="D7" s="604">
        <v>0.05</v>
      </c>
      <c r="E7" s="605">
        <v>0.3</v>
      </c>
      <c r="F7" s="603"/>
      <c r="G7" s="603"/>
      <c r="H7" s="603"/>
      <c r="I7" s="606">
        <f t="shared" si="0"/>
        <v>6.85</v>
      </c>
      <c r="J7" s="61"/>
      <c r="K7" s="61"/>
    </row>
    <row r="8" spans="1:11" ht="26.25" customHeight="1">
      <c r="A8" s="601">
        <f>A6+0.1</f>
        <v>1.2</v>
      </c>
      <c r="B8" s="602" t="s">
        <v>482</v>
      </c>
      <c r="C8" s="603">
        <f>+C6</f>
        <v>3.6</v>
      </c>
      <c r="D8" s="604">
        <v>0.05</v>
      </c>
      <c r="E8" s="605">
        <v>0.3</v>
      </c>
      <c r="F8" s="603"/>
      <c r="G8" s="603"/>
      <c r="H8" s="603"/>
      <c r="I8" s="606">
        <f t="shared" si="0"/>
        <v>3.85</v>
      </c>
      <c r="J8" s="61"/>
      <c r="K8" s="61"/>
    </row>
    <row r="9" spans="1:11" ht="26.25" customHeight="1">
      <c r="A9" s="601">
        <f>A7+0.1</f>
        <v>1.3</v>
      </c>
      <c r="B9" s="602" t="s">
        <v>483</v>
      </c>
      <c r="C9" s="603">
        <f>+C7</f>
        <v>6.6</v>
      </c>
      <c r="D9" s="604">
        <v>0.05</v>
      </c>
      <c r="E9" s="605">
        <v>0.3</v>
      </c>
      <c r="F9" s="603"/>
      <c r="G9" s="603"/>
      <c r="H9" s="603"/>
      <c r="I9" s="606">
        <f t="shared" si="0"/>
        <v>6.85</v>
      </c>
      <c r="J9" s="61"/>
      <c r="K9" s="61"/>
    </row>
    <row r="10" spans="1:11" ht="26.25" customHeight="1" thickBot="1">
      <c r="A10" s="66"/>
      <c r="B10" s="73"/>
      <c r="C10" s="68"/>
      <c r="D10" s="69"/>
      <c r="E10" s="70"/>
      <c r="F10" s="68"/>
      <c r="G10" s="71"/>
      <c r="H10" s="71"/>
      <c r="I10" s="74"/>
      <c r="J10" s="61"/>
      <c r="K10" s="61"/>
    </row>
    <row r="11" spans="1:11" ht="26.25" customHeight="1" thickTop="1" thickBot="1">
      <c r="A11" s="62" t="s">
        <v>2</v>
      </c>
      <c r="B11" s="63" t="s">
        <v>119</v>
      </c>
      <c r="C11" s="63" t="s">
        <v>5</v>
      </c>
      <c r="D11" s="63" t="s">
        <v>121</v>
      </c>
      <c r="E11" s="63" t="s">
        <v>484</v>
      </c>
      <c r="F11" s="63"/>
      <c r="G11" s="63"/>
      <c r="H11" s="63" t="s">
        <v>485</v>
      </c>
      <c r="I11" s="75" t="s">
        <v>486</v>
      </c>
      <c r="J11" s="61"/>
      <c r="K11" s="61"/>
    </row>
    <row r="12" spans="1:11" ht="26.25" customHeight="1" thickTop="1">
      <c r="A12" s="66"/>
      <c r="B12" s="67"/>
      <c r="C12" s="68"/>
      <c r="D12" s="69"/>
      <c r="E12" s="70"/>
      <c r="F12" s="68"/>
      <c r="G12" s="71"/>
      <c r="H12" s="70"/>
      <c r="I12" s="76"/>
      <c r="J12" s="61"/>
      <c r="K12" s="61"/>
    </row>
    <row r="13" spans="1:11" ht="39" customHeight="1">
      <c r="A13" s="599">
        <v>1</v>
      </c>
      <c r="B13" s="600" t="s">
        <v>487</v>
      </c>
      <c r="C13" s="68"/>
      <c r="D13" s="69"/>
      <c r="E13" s="70"/>
      <c r="F13" s="68"/>
      <c r="G13" s="71"/>
      <c r="H13" s="77"/>
      <c r="I13" s="76"/>
      <c r="J13" s="61"/>
      <c r="K13" s="61"/>
    </row>
    <row r="14" spans="1:11" ht="26.25" customHeight="1">
      <c r="A14" s="601">
        <f>A13+0.1</f>
        <v>1.1000000000000001</v>
      </c>
      <c r="B14" s="602" t="s">
        <v>480</v>
      </c>
      <c r="C14" s="68">
        <f>+C7</f>
        <v>6.6</v>
      </c>
      <c r="D14" s="69">
        <v>1</v>
      </c>
      <c r="E14" s="70">
        <v>0.15</v>
      </c>
      <c r="F14" s="68"/>
      <c r="G14" s="71"/>
      <c r="H14" s="77">
        <f>(C14/E14)+D14</f>
        <v>45</v>
      </c>
      <c r="I14" s="78">
        <v>45</v>
      </c>
      <c r="J14" s="61"/>
      <c r="K14" s="61"/>
    </row>
    <row r="15" spans="1:11" ht="26.25" customHeight="1">
      <c r="A15" s="601">
        <f>A14+0.1</f>
        <v>1.2</v>
      </c>
      <c r="B15" s="602" t="s">
        <v>481</v>
      </c>
      <c r="C15" s="68">
        <f>+C6</f>
        <v>3.6</v>
      </c>
      <c r="D15" s="69">
        <v>1</v>
      </c>
      <c r="E15" s="70">
        <v>0.15</v>
      </c>
      <c r="F15" s="68"/>
      <c r="G15" s="71"/>
      <c r="H15" s="77">
        <f>(C15/E15)+D15</f>
        <v>25</v>
      </c>
      <c r="I15" s="78">
        <v>25</v>
      </c>
      <c r="J15" s="61"/>
      <c r="K15" s="61"/>
    </row>
    <row r="16" spans="1:11" ht="26.25" customHeight="1">
      <c r="A16" s="601">
        <f>A14+0.1</f>
        <v>1.2</v>
      </c>
      <c r="B16" s="602" t="s">
        <v>482</v>
      </c>
      <c r="C16" s="68">
        <f>+C9</f>
        <v>6.6</v>
      </c>
      <c r="D16" s="69">
        <v>1</v>
      </c>
      <c r="E16" s="70">
        <v>0.15</v>
      </c>
      <c r="F16" s="68"/>
      <c r="G16" s="71"/>
      <c r="H16" s="77">
        <f t="shared" ref="H16:H17" si="1">(C16/E16)+D16</f>
        <v>45</v>
      </c>
      <c r="I16" s="78">
        <v>45</v>
      </c>
      <c r="J16" s="61"/>
      <c r="K16" s="61"/>
    </row>
    <row r="17" spans="1:11" ht="26.25" customHeight="1">
      <c r="A17" s="601">
        <f>A15+0.1</f>
        <v>1.3</v>
      </c>
      <c r="B17" s="602" t="s">
        <v>483</v>
      </c>
      <c r="C17" s="68">
        <f>+C8</f>
        <v>3.6</v>
      </c>
      <c r="D17" s="69">
        <v>1</v>
      </c>
      <c r="E17" s="70">
        <v>0.15</v>
      </c>
      <c r="F17" s="68"/>
      <c r="G17" s="71"/>
      <c r="H17" s="77">
        <f t="shared" si="1"/>
        <v>25</v>
      </c>
      <c r="I17" s="78">
        <v>25</v>
      </c>
      <c r="J17" s="61"/>
      <c r="K17" s="61"/>
    </row>
    <row r="18" spans="1:11" ht="26.25" customHeight="1" thickBot="1">
      <c r="A18" s="66"/>
      <c r="B18" s="67"/>
      <c r="C18" s="68"/>
      <c r="D18" s="69"/>
      <c r="E18" s="70"/>
      <c r="F18" s="68"/>
      <c r="G18" s="71"/>
      <c r="H18" s="79"/>
      <c r="I18" s="76"/>
      <c r="J18" s="61"/>
      <c r="K18" s="61"/>
    </row>
    <row r="19" spans="1:11" ht="26.25" customHeight="1" thickTop="1" thickBot="1">
      <c r="A19" s="62" t="s">
        <v>2</v>
      </c>
      <c r="B19" s="63" t="s">
        <v>119</v>
      </c>
      <c r="C19" s="63" t="s">
        <v>488</v>
      </c>
      <c r="D19" s="65" t="s">
        <v>486</v>
      </c>
      <c r="E19" s="65" t="s">
        <v>478</v>
      </c>
      <c r="F19" s="63" t="s">
        <v>489</v>
      </c>
      <c r="G19" s="64" t="s">
        <v>490</v>
      </c>
      <c r="H19" s="64" t="s">
        <v>491</v>
      </c>
      <c r="I19" s="65" t="s">
        <v>492</v>
      </c>
      <c r="J19" s="61"/>
      <c r="K19" s="61"/>
    </row>
    <row r="20" spans="1:11" ht="26.25" customHeight="1" thickTop="1">
      <c r="A20" s="66"/>
      <c r="B20" s="67"/>
      <c r="C20" s="68"/>
      <c r="D20" s="69"/>
      <c r="E20" s="70"/>
      <c r="F20" s="68"/>
      <c r="G20" s="71"/>
      <c r="H20" s="71"/>
      <c r="I20" s="72"/>
      <c r="J20" s="61"/>
      <c r="K20" s="61"/>
    </row>
    <row r="21" spans="1:11" ht="26.25" customHeight="1">
      <c r="A21" s="599">
        <v>1</v>
      </c>
      <c r="B21" s="600" t="s">
        <v>493</v>
      </c>
      <c r="C21" s="68"/>
      <c r="D21" s="69"/>
      <c r="E21" s="70"/>
      <c r="F21" s="68"/>
      <c r="G21" s="71"/>
      <c r="H21" s="71"/>
      <c r="I21" s="72"/>
      <c r="K21" s="61"/>
    </row>
    <row r="22" spans="1:11" ht="26.25" customHeight="1">
      <c r="A22" s="601">
        <f>A21+0.1</f>
        <v>1.1000000000000001</v>
      </c>
      <c r="B22" s="602" t="s">
        <v>480</v>
      </c>
      <c r="C22" s="603">
        <v>1</v>
      </c>
      <c r="D22" s="604">
        <f>+I14</f>
        <v>45</v>
      </c>
      <c r="E22" s="605">
        <f>I6</f>
        <v>3.85</v>
      </c>
      <c r="F22" s="603">
        <v>2.2000000000000002</v>
      </c>
      <c r="G22" s="603">
        <v>1.1000000000000001</v>
      </c>
      <c r="H22" s="603">
        <v>100</v>
      </c>
      <c r="I22" s="606">
        <f>(C22*D22*E22*F22*G22)/H22</f>
        <v>4.1900000000000004</v>
      </c>
      <c r="K22" s="61"/>
    </row>
    <row r="23" spans="1:11" ht="26.25" customHeight="1">
      <c r="A23" s="601">
        <f>A22+0.1</f>
        <v>1.2</v>
      </c>
      <c r="B23" s="602" t="s">
        <v>481</v>
      </c>
      <c r="C23" s="603">
        <v>1</v>
      </c>
      <c r="D23" s="604">
        <f>+I15</f>
        <v>25</v>
      </c>
      <c r="E23" s="605">
        <f>I7</f>
        <v>6.85</v>
      </c>
      <c r="F23" s="603">
        <v>2.2000000000000002</v>
      </c>
      <c r="G23" s="603">
        <v>1.1000000000000001</v>
      </c>
      <c r="H23" s="603">
        <v>100</v>
      </c>
      <c r="I23" s="606">
        <f>(C23*D23*E23*F23*G23)/H23</f>
        <v>4.1399999999999997</v>
      </c>
      <c r="K23" s="61"/>
    </row>
    <row r="24" spans="1:11" ht="26.25" customHeight="1">
      <c r="A24" s="601">
        <f>A22+0.1</f>
        <v>1.2</v>
      </c>
      <c r="B24" s="602" t="s">
        <v>482</v>
      </c>
      <c r="C24" s="603">
        <v>1</v>
      </c>
      <c r="D24" s="604">
        <f>+I16</f>
        <v>45</v>
      </c>
      <c r="E24" s="605">
        <f>I8</f>
        <v>3.85</v>
      </c>
      <c r="F24" s="603">
        <v>2.2000000000000002</v>
      </c>
      <c r="G24" s="603">
        <v>1.1000000000000001</v>
      </c>
      <c r="H24" s="603">
        <v>100</v>
      </c>
      <c r="I24" s="606">
        <f t="shared" ref="I24:I25" si="2">(C24*D24*E24*F24*G24)/H24</f>
        <v>4.1900000000000004</v>
      </c>
      <c r="K24" s="61"/>
    </row>
    <row r="25" spans="1:11" ht="26.25" customHeight="1">
      <c r="A25" s="601">
        <f>A23+0.1</f>
        <v>1.3</v>
      </c>
      <c r="B25" s="602" t="s">
        <v>483</v>
      </c>
      <c r="C25" s="603">
        <v>1</v>
      </c>
      <c r="D25" s="604">
        <f>+I17</f>
        <v>25</v>
      </c>
      <c r="E25" s="605">
        <f>I9</f>
        <v>6.85</v>
      </c>
      <c r="F25" s="603">
        <v>2.2000000000000002</v>
      </c>
      <c r="G25" s="603">
        <v>1.1000000000000001</v>
      </c>
      <c r="H25" s="603">
        <v>100</v>
      </c>
      <c r="I25" s="606">
        <f t="shared" si="2"/>
        <v>4.1399999999999997</v>
      </c>
      <c r="K25" s="61"/>
    </row>
    <row r="26" spans="1:11" ht="26.25" customHeight="1" thickBot="1">
      <c r="A26" s="601"/>
      <c r="B26" s="602"/>
      <c r="C26" s="607"/>
      <c r="D26" s="608"/>
      <c r="E26" s="609"/>
      <c r="F26" s="603"/>
      <c r="G26" s="610"/>
      <c r="H26" s="610"/>
      <c r="I26" s="606"/>
      <c r="K26" s="61"/>
    </row>
    <row r="27" spans="1:11" ht="26.25" customHeight="1" thickTop="1" thickBot="1">
      <c r="A27" s="62" t="s">
        <v>2</v>
      </c>
      <c r="B27" s="63" t="s">
        <v>119</v>
      </c>
      <c r="C27" s="81" t="s">
        <v>494</v>
      </c>
      <c r="D27" s="81" t="s">
        <v>495</v>
      </c>
      <c r="E27" s="81" t="s">
        <v>496</v>
      </c>
      <c r="F27" s="63" t="s">
        <v>113</v>
      </c>
      <c r="G27" s="64"/>
      <c r="H27" s="64"/>
      <c r="I27" s="65" t="s">
        <v>497</v>
      </c>
      <c r="K27" s="61"/>
    </row>
    <row r="28" spans="1:11" ht="26.25" customHeight="1" thickTop="1">
      <c r="A28" s="66"/>
      <c r="B28" s="67"/>
      <c r="C28" s="68"/>
      <c r="D28" s="69"/>
      <c r="E28" s="70"/>
      <c r="F28" s="68"/>
      <c r="G28" s="71"/>
      <c r="H28" s="71"/>
      <c r="I28" s="72"/>
      <c r="K28" s="61"/>
    </row>
    <row r="29" spans="1:11" ht="26.25" customHeight="1">
      <c r="A29" s="599">
        <v>1</v>
      </c>
      <c r="B29" s="600" t="s">
        <v>498</v>
      </c>
      <c r="C29" s="68"/>
      <c r="D29" s="82">
        <f>SUM(I22:I25)</f>
        <v>16.66</v>
      </c>
      <c r="E29" s="70"/>
      <c r="F29" s="83">
        <f>6.6*3.6*0.3</f>
        <v>7.13</v>
      </c>
      <c r="G29" s="71"/>
      <c r="H29" s="71"/>
      <c r="I29" s="74">
        <f>(C29+D29+E29)/F29</f>
        <v>2.34</v>
      </c>
      <c r="J29" s="80">
        <f>+(C137*3)*2</f>
        <v>0</v>
      </c>
      <c r="K29" s="61"/>
    </row>
    <row r="30" spans="1:11" ht="26.25" customHeight="1" thickBot="1">
      <c r="A30" s="601"/>
      <c r="B30" s="602"/>
      <c r="C30" s="603"/>
      <c r="D30" s="604"/>
      <c r="E30" s="605"/>
      <c r="F30" s="603"/>
      <c r="G30" s="603"/>
      <c r="H30" s="603"/>
      <c r="I30" s="606"/>
      <c r="J30" s="80">
        <f>+(D137*3)*2</f>
        <v>35.159999999999997</v>
      </c>
      <c r="K30" s="61"/>
    </row>
    <row r="31" spans="1:11" ht="26.25" customHeight="1" thickTop="1" thickBot="1">
      <c r="A31" s="84"/>
      <c r="B31" s="85" t="s">
        <v>499</v>
      </c>
      <c r="C31" s="86">
        <f>+(C29*10)</f>
        <v>0</v>
      </c>
      <c r="D31" s="87">
        <f>+(D29*10)</f>
        <v>166.6</v>
      </c>
      <c r="E31" s="88"/>
      <c r="F31" s="86"/>
      <c r="G31" s="89"/>
      <c r="H31" s="89"/>
      <c r="I31" s="90"/>
      <c r="K31" s="61"/>
    </row>
    <row r="32" spans="1:11" ht="26.25" customHeight="1" thickTop="1" thickBot="1">
      <c r="A32" s="529" t="s">
        <v>500</v>
      </c>
      <c r="B32" s="530"/>
      <c r="C32" s="530"/>
      <c r="D32" s="530"/>
      <c r="E32" s="530"/>
      <c r="F32" s="530"/>
      <c r="G32" s="530"/>
      <c r="H32" s="530"/>
      <c r="I32" s="531"/>
      <c r="K32" s="61"/>
    </row>
    <row r="33" spans="1:11" ht="26.25" customHeight="1" thickTop="1" thickBot="1">
      <c r="A33" s="62"/>
      <c r="B33" s="63" t="s">
        <v>119</v>
      </c>
      <c r="C33" s="63" t="s">
        <v>5</v>
      </c>
      <c r="D33" s="63" t="s">
        <v>475</v>
      </c>
      <c r="E33" s="63" t="s">
        <v>476</v>
      </c>
      <c r="F33" s="63" t="s">
        <v>477</v>
      </c>
      <c r="G33" s="64"/>
      <c r="H33" s="64"/>
      <c r="I33" s="65" t="s">
        <v>478</v>
      </c>
      <c r="K33" s="61"/>
    </row>
    <row r="34" spans="1:11" ht="26.25" customHeight="1" thickTop="1">
      <c r="A34" s="66"/>
      <c r="B34" s="67"/>
      <c r="C34" s="68"/>
      <c r="D34" s="69"/>
      <c r="E34" s="70"/>
      <c r="F34" s="68"/>
      <c r="G34" s="71"/>
      <c r="H34" s="71"/>
      <c r="I34" s="72"/>
      <c r="K34" s="61"/>
    </row>
    <row r="35" spans="1:11" ht="26.25" customHeight="1">
      <c r="A35" s="599">
        <v>1</v>
      </c>
      <c r="B35" s="600" t="s">
        <v>479</v>
      </c>
      <c r="C35" s="68"/>
      <c r="D35" s="69"/>
      <c r="E35" s="70"/>
      <c r="F35" s="68"/>
      <c r="G35" s="71"/>
      <c r="H35" s="71"/>
      <c r="I35" s="72"/>
      <c r="K35" s="61"/>
    </row>
    <row r="36" spans="1:11" ht="26.25" customHeight="1">
      <c r="A36" s="601">
        <f>A35+0.1</f>
        <v>1.1000000000000001</v>
      </c>
      <c r="B36" s="602" t="s">
        <v>501</v>
      </c>
      <c r="C36" s="603">
        <v>6.6</v>
      </c>
      <c r="D36" s="604">
        <v>0.05</v>
      </c>
      <c r="E36" s="605">
        <v>0.3</v>
      </c>
      <c r="F36" s="603"/>
      <c r="G36" s="603"/>
      <c r="H36" s="603"/>
      <c r="I36" s="606">
        <f t="shared" ref="I36:I37" si="3">(C36-D36)+E36+F36</f>
        <v>6.85</v>
      </c>
      <c r="K36" s="61"/>
    </row>
    <row r="37" spans="1:11" ht="26.25" customHeight="1">
      <c r="A37" s="601">
        <f>A36+0.1</f>
        <v>1.2</v>
      </c>
      <c r="B37" s="602" t="s">
        <v>502</v>
      </c>
      <c r="C37" s="68">
        <f>1.85+0.75</f>
        <v>2.6</v>
      </c>
      <c r="D37" s="604">
        <v>0.05</v>
      </c>
      <c r="E37" s="605">
        <v>0.3</v>
      </c>
      <c r="F37" s="603"/>
      <c r="G37" s="603"/>
      <c r="H37" s="603"/>
      <c r="I37" s="606">
        <f t="shared" si="3"/>
        <v>2.85</v>
      </c>
      <c r="K37" s="61"/>
    </row>
    <row r="38" spans="1:11" ht="26.25" customHeight="1" thickBot="1">
      <c r="A38" s="66"/>
      <c r="B38" s="73"/>
      <c r="C38" s="68"/>
      <c r="D38" s="69"/>
      <c r="E38" s="70"/>
      <c r="F38" s="68"/>
      <c r="G38" s="71"/>
      <c r="H38" s="71"/>
      <c r="I38" s="74"/>
      <c r="K38" s="61"/>
    </row>
    <row r="39" spans="1:11" ht="51" customHeight="1" thickTop="1" thickBot="1">
      <c r="A39" s="62" t="s">
        <v>2</v>
      </c>
      <c r="B39" s="63" t="s">
        <v>119</v>
      </c>
      <c r="C39" s="63" t="s">
        <v>5</v>
      </c>
      <c r="D39" s="63" t="s">
        <v>121</v>
      </c>
      <c r="E39" s="63" t="s">
        <v>484</v>
      </c>
      <c r="F39" s="63"/>
      <c r="G39" s="63"/>
      <c r="H39" s="63" t="s">
        <v>485</v>
      </c>
      <c r="I39" s="75" t="s">
        <v>486</v>
      </c>
      <c r="K39" s="61"/>
    </row>
    <row r="40" spans="1:11" ht="26.25" customHeight="1" thickTop="1">
      <c r="A40" s="66"/>
      <c r="B40" s="67"/>
      <c r="C40" s="68"/>
      <c r="D40" s="69"/>
      <c r="E40" s="70"/>
      <c r="F40" s="68"/>
      <c r="G40" s="71"/>
      <c r="H40" s="70"/>
      <c r="I40" s="76"/>
      <c r="K40" s="61"/>
    </row>
    <row r="41" spans="1:11" ht="33.75" customHeight="1">
      <c r="A41" s="599">
        <v>1</v>
      </c>
      <c r="B41" s="600" t="s">
        <v>487</v>
      </c>
      <c r="C41" s="68"/>
      <c r="D41" s="69"/>
      <c r="E41" s="70"/>
      <c r="F41" s="68"/>
      <c r="G41" s="71"/>
      <c r="H41" s="77"/>
      <c r="I41" s="76"/>
      <c r="K41" s="61"/>
    </row>
    <row r="42" spans="1:11" ht="26.25" customHeight="1">
      <c r="A42" s="601">
        <f>A41+0.1</f>
        <v>1.1000000000000001</v>
      </c>
      <c r="B42" s="602" t="s">
        <v>501</v>
      </c>
      <c r="C42" s="68">
        <f>+C37</f>
        <v>2.6</v>
      </c>
      <c r="D42" s="69">
        <v>1</v>
      </c>
      <c r="E42" s="70">
        <v>0.15</v>
      </c>
      <c r="F42" s="68"/>
      <c r="G42" s="71"/>
      <c r="H42" s="77">
        <f>(C42/E42)+D42</f>
        <v>18.329999999999998</v>
      </c>
      <c r="I42" s="78">
        <v>18</v>
      </c>
      <c r="K42" s="61"/>
    </row>
    <row r="43" spans="1:11" ht="26.25" customHeight="1">
      <c r="A43" s="601">
        <f>A42+0.1</f>
        <v>1.2</v>
      </c>
      <c r="B43" s="602" t="s">
        <v>502</v>
      </c>
      <c r="C43" s="68">
        <f>+C36</f>
        <v>6.6</v>
      </c>
      <c r="D43" s="69">
        <v>1</v>
      </c>
      <c r="E43" s="70">
        <v>0.15</v>
      </c>
      <c r="F43" s="68"/>
      <c r="G43" s="71"/>
      <c r="H43" s="77">
        <f>(C43/E43)+D43</f>
        <v>45</v>
      </c>
      <c r="I43" s="78">
        <v>45</v>
      </c>
      <c r="K43" s="61"/>
    </row>
    <row r="44" spans="1:11" ht="26.25" customHeight="1" thickBot="1">
      <c r="A44" s="66"/>
      <c r="B44" s="67"/>
      <c r="C44" s="68"/>
      <c r="D44" s="69"/>
      <c r="E44" s="70"/>
      <c r="F44" s="68"/>
      <c r="G44" s="71"/>
      <c r="H44" s="79"/>
      <c r="I44" s="76"/>
      <c r="K44" s="61"/>
    </row>
    <row r="45" spans="1:11" ht="26.25" customHeight="1" thickTop="1" thickBot="1">
      <c r="A45" s="62" t="s">
        <v>2</v>
      </c>
      <c r="B45" s="63" t="s">
        <v>119</v>
      </c>
      <c r="C45" s="63" t="s">
        <v>488</v>
      </c>
      <c r="D45" s="65" t="s">
        <v>486</v>
      </c>
      <c r="E45" s="65" t="s">
        <v>478</v>
      </c>
      <c r="F45" s="63" t="s">
        <v>489</v>
      </c>
      <c r="G45" s="64" t="s">
        <v>490</v>
      </c>
      <c r="H45" s="64" t="s">
        <v>491</v>
      </c>
      <c r="I45" s="65" t="s">
        <v>492</v>
      </c>
      <c r="K45" s="61"/>
    </row>
    <row r="46" spans="1:11" ht="26.25" customHeight="1" thickTop="1">
      <c r="A46" s="66"/>
      <c r="B46" s="67"/>
      <c r="C46" s="68"/>
      <c r="D46" s="69"/>
      <c r="E46" s="70"/>
      <c r="F46" s="68"/>
      <c r="G46" s="71"/>
      <c r="H46" s="71"/>
      <c r="I46" s="72"/>
      <c r="K46" s="61"/>
    </row>
    <row r="47" spans="1:11" ht="26.25" customHeight="1">
      <c r="A47" s="599">
        <v>1</v>
      </c>
      <c r="B47" s="600" t="s">
        <v>493</v>
      </c>
      <c r="C47" s="68"/>
      <c r="D47" s="69"/>
      <c r="E47" s="70"/>
      <c r="F47" s="68"/>
      <c r="G47" s="71"/>
      <c r="H47" s="71"/>
      <c r="I47" s="72"/>
      <c r="K47" s="61"/>
    </row>
    <row r="48" spans="1:11" ht="26.25" customHeight="1">
      <c r="A48" s="601">
        <f>A47+0.1</f>
        <v>1.1000000000000001</v>
      </c>
      <c r="B48" s="602" t="s">
        <v>501</v>
      </c>
      <c r="C48" s="603">
        <v>2</v>
      </c>
      <c r="D48" s="604">
        <f>+I42</f>
        <v>18</v>
      </c>
      <c r="E48" s="605">
        <f>I36</f>
        <v>6.85</v>
      </c>
      <c r="F48" s="603">
        <v>2.2000000000000002</v>
      </c>
      <c r="G48" s="603">
        <v>1.1000000000000001</v>
      </c>
      <c r="H48" s="603">
        <v>100</v>
      </c>
      <c r="I48" s="606">
        <f>(C48*D48*E48*F48*G48)/H48</f>
        <v>5.97</v>
      </c>
      <c r="K48" s="61"/>
    </row>
    <row r="49" spans="1:11" ht="26.25" customHeight="1">
      <c r="A49" s="601">
        <f>A48+0.1</f>
        <v>1.2</v>
      </c>
      <c r="B49" s="602" t="s">
        <v>502</v>
      </c>
      <c r="C49" s="603">
        <v>2</v>
      </c>
      <c r="D49" s="604">
        <f>+I43</f>
        <v>45</v>
      </c>
      <c r="E49" s="605">
        <f>I37</f>
        <v>2.85</v>
      </c>
      <c r="F49" s="603">
        <v>2.2000000000000002</v>
      </c>
      <c r="G49" s="603">
        <v>1.1000000000000001</v>
      </c>
      <c r="H49" s="603">
        <v>100</v>
      </c>
      <c r="I49" s="606">
        <f>(C49*D49*E49*F49*G49)/H49</f>
        <v>6.21</v>
      </c>
      <c r="J49" s="80">
        <f>+(C161*3)*2</f>
        <v>0</v>
      </c>
      <c r="K49" s="61"/>
    </row>
    <row r="50" spans="1:11" ht="18.75" thickBot="1">
      <c r="A50" s="601"/>
      <c r="B50" s="602"/>
      <c r="C50" s="607"/>
      <c r="D50" s="608"/>
      <c r="E50" s="609"/>
      <c r="F50" s="603"/>
      <c r="G50" s="610"/>
      <c r="H50" s="610"/>
      <c r="I50" s="606"/>
    </row>
    <row r="51" spans="1:11" ht="19.5" thickTop="1" thickBot="1">
      <c r="A51" s="62" t="s">
        <v>2</v>
      </c>
      <c r="B51" s="63" t="s">
        <v>119</v>
      </c>
      <c r="C51" s="81" t="s">
        <v>494</v>
      </c>
      <c r="D51" s="81" t="s">
        <v>495</v>
      </c>
      <c r="E51" s="81" t="s">
        <v>496</v>
      </c>
      <c r="F51" s="63" t="s">
        <v>113</v>
      </c>
      <c r="G51" s="64"/>
      <c r="H51" s="64"/>
      <c r="I51" s="65" t="s">
        <v>497</v>
      </c>
    </row>
    <row r="52" spans="1:11" ht="18.75" thickTop="1">
      <c r="A52" s="66"/>
      <c r="B52" s="67"/>
      <c r="C52" s="68"/>
      <c r="D52" s="69"/>
      <c r="E52" s="70"/>
      <c r="F52" s="68"/>
      <c r="G52" s="71"/>
      <c r="H52" s="71"/>
      <c r="I52" s="72"/>
    </row>
    <row r="53" spans="1:11">
      <c r="A53" s="599">
        <v>1</v>
      </c>
      <c r="B53" s="600" t="s">
        <v>498</v>
      </c>
      <c r="C53" s="68"/>
      <c r="D53" s="82">
        <f>SUM(I48:I49)</f>
        <v>12.18</v>
      </c>
      <c r="E53" s="70"/>
      <c r="F53" s="83">
        <f>6.6*2.2*0.25</f>
        <v>3.63</v>
      </c>
      <c r="G53" s="71"/>
      <c r="H53" s="71"/>
      <c r="I53" s="74">
        <f>(C53+D53+E53)/F53</f>
        <v>3.36</v>
      </c>
    </row>
    <row r="54" spans="1:11" ht="18.75" thickBot="1">
      <c r="A54" s="601"/>
      <c r="B54" s="602"/>
      <c r="C54" s="603"/>
      <c r="D54" s="604"/>
      <c r="E54" s="605"/>
      <c r="F54" s="603"/>
      <c r="G54" s="603"/>
      <c r="H54" s="603"/>
      <c r="I54" s="606"/>
    </row>
    <row r="55" spans="1:11" ht="19.5" thickTop="1" thickBot="1">
      <c r="A55" s="84"/>
      <c r="B55" s="85" t="s">
        <v>499</v>
      </c>
      <c r="C55" s="86">
        <f>+(C53*10)</f>
        <v>0</v>
      </c>
      <c r="D55" s="87">
        <f>+(D53*10)</f>
        <v>121.8</v>
      </c>
      <c r="E55" s="88"/>
      <c r="F55" s="86"/>
      <c r="G55" s="89"/>
      <c r="H55" s="89"/>
      <c r="I55" s="90"/>
    </row>
    <row r="56" spans="1:11" ht="19.5" thickTop="1" thickBot="1">
      <c r="A56" s="529" t="s">
        <v>503</v>
      </c>
      <c r="B56" s="530"/>
      <c r="C56" s="530"/>
      <c r="D56" s="530"/>
      <c r="E56" s="530"/>
      <c r="F56" s="530"/>
      <c r="G56" s="530"/>
      <c r="H56" s="530"/>
      <c r="I56" s="531"/>
    </row>
    <row r="57" spans="1:11" ht="19.5" thickTop="1" thickBot="1">
      <c r="A57" s="62"/>
      <c r="B57" s="63" t="s">
        <v>119</v>
      </c>
      <c r="C57" s="63" t="s">
        <v>5</v>
      </c>
      <c r="D57" s="63" t="s">
        <v>475</v>
      </c>
      <c r="E57" s="63" t="s">
        <v>476</v>
      </c>
      <c r="F57" s="63" t="s">
        <v>477</v>
      </c>
      <c r="G57" s="64"/>
      <c r="H57" s="64"/>
      <c r="I57" s="65" t="s">
        <v>478</v>
      </c>
    </row>
    <row r="58" spans="1:11" ht="18.75" thickTop="1">
      <c r="A58" s="66"/>
      <c r="B58" s="67"/>
      <c r="C58" s="68"/>
      <c r="D58" s="69"/>
      <c r="E58" s="70"/>
      <c r="F58" s="68"/>
      <c r="G58" s="71"/>
      <c r="H58" s="71"/>
      <c r="I58" s="72"/>
    </row>
    <row r="59" spans="1:11">
      <c r="A59" s="599">
        <v>1</v>
      </c>
      <c r="B59" s="600" t="s">
        <v>479</v>
      </c>
      <c r="C59" s="68"/>
      <c r="D59" s="69"/>
      <c r="E59" s="70"/>
      <c r="F59" s="68"/>
      <c r="G59" s="71"/>
      <c r="H59" s="71"/>
      <c r="I59" s="72"/>
    </row>
    <row r="60" spans="1:11">
      <c r="A60" s="601">
        <f>A59+0.1</f>
        <v>1.1000000000000001</v>
      </c>
      <c r="B60" s="602" t="s">
        <v>480</v>
      </c>
      <c r="C60" s="603">
        <v>3</v>
      </c>
      <c r="D60" s="604">
        <v>0.05</v>
      </c>
      <c r="E60" s="605">
        <v>0.3</v>
      </c>
      <c r="F60" s="603"/>
      <c r="G60" s="603"/>
      <c r="H60" s="603"/>
      <c r="I60" s="606">
        <f t="shared" ref="I60:I63" si="4">(C60-D60)+E60+F60</f>
        <v>3.25</v>
      </c>
    </row>
    <row r="61" spans="1:11">
      <c r="A61" s="601">
        <f>A60+0.1</f>
        <v>1.2</v>
      </c>
      <c r="B61" s="602" t="s">
        <v>481</v>
      </c>
      <c r="C61" s="603">
        <v>6.6</v>
      </c>
      <c r="D61" s="604">
        <v>0.05</v>
      </c>
      <c r="E61" s="605">
        <v>0.3</v>
      </c>
      <c r="F61" s="603"/>
      <c r="G61" s="603"/>
      <c r="H61" s="603"/>
      <c r="I61" s="606">
        <f t="shared" si="4"/>
        <v>6.85</v>
      </c>
    </row>
    <row r="62" spans="1:11">
      <c r="A62" s="601">
        <f>A60+0.1</f>
        <v>1.2</v>
      </c>
      <c r="B62" s="602" t="s">
        <v>482</v>
      </c>
      <c r="C62" s="603">
        <f>+C60</f>
        <v>3</v>
      </c>
      <c r="D62" s="604">
        <v>0.05</v>
      </c>
      <c r="E62" s="605">
        <v>0.3</v>
      </c>
      <c r="F62" s="603"/>
      <c r="G62" s="603"/>
      <c r="H62" s="603"/>
      <c r="I62" s="606">
        <f t="shared" si="4"/>
        <v>3.25</v>
      </c>
    </row>
    <row r="63" spans="1:11">
      <c r="A63" s="601">
        <f>A61+0.1</f>
        <v>1.3</v>
      </c>
      <c r="B63" s="602" t="s">
        <v>483</v>
      </c>
      <c r="C63" s="603">
        <f>+C61</f>
        <v>6.6</v>
      </c>
      <c r="D63" s="604">
        <v>0.05</v>
      </c>
      <c r="E63" s="605">
        <v>0.3</v>
      </c>
      <c r="F63" s="603"/>
      <c r="G63" s="603"/>
      <c r="H63" s="603"/>
      <c r="I63" s="606">
        <f t="shared" si="4"/>
        <v>6.85</v>
      </c>
    </row>
    <row r="64" spans="1:11" ht="18.75" thickBot="1">
      <c r="A64" s="66"/>
      <c r="B64" s="73"/>
      <c r="C64" s="68"/>
      <c r="D64" s="69"/>
      <c r="E64" s="70"/>
      <c r="F64" s="68"/>
      <c r="G64" s="71"/>
      <c r="H64" s="71"/>
      <c r="I64" s="74"/>
    </row>
    <row r="65" spans="1:9" ht="19.5" thickTop="1" thickBot="1">
      <c r="A65" s="62" t="s">
        <v>2</v>
      </c>
      <c r="B65" s="63" t="s">
        <v>119</v>
      </c>
      <c r="C65" s="63" t="s">
        <v>5</v>
      </c>
      <c r="D65" s="63" t="s">
        <v>121</v>
      </c>
      <c r="E65" s="63" t="s">
        <v>484</v>
      </c>
      <c r="F65" s="63"/>
      <c r="G65" s="63"/>
      <c r="H65" s="63" t="s">
        <v>485</v>
      </c>
      <c r="I65" s="75" t="s">
        <v>486</v>
      </c>
    </row>
    <row r="66" spans="1:9" ht="18.75" thickTop="1">
      <c r="A66" s="66"/>
      <c r="B66" s="67"/>
      <c r="C66" s="68"/>
      <c r="D66" s="69"/>
      <c r="E66" s="70"/>
      <c r="F66" s="68"/>
      <c r="G66" s="71"/>
      <c r="H66" s="70"/>
      <c r="I66" s="76"/>
    </row>
    <row r="67" spans="1:9" ht="36">
      <c r="A67" s="599">
        <v>1</v>
      </c>
      <c r="B67" s="600" t="s">
        <v>487</v>
      </c>
      <c r="C67" s="68"/>
      <c r="D67" s="69"/>
      <c r="E67" s="70"/>
      <c r="F67" s="68"/>
      <c r="G67" s="71"/>
      <c r="H67" s="77"/>
      <c r="I67" s="76"/>
    </row>
    <row r="68" spans="1:9">
      <c r="A68" s="601">
        <f>A67+0.1</f>
        <v>1.1000000000000001</v>
      </c>
      <c r="B68" s="602" t="s">
        <v>480</v>
      </c>
      <c r="C68" s="68">
        <f>+C61</f>
        <v>6.6</v>
      </c>
      <c r="D68" s="69">
        <v>1</v>
      </c>
      <c r="E68" s="70">
        <v>0.15</v>
      </c>
      <c r="F68" s="68"/>
      <c r="G68" s="71"/>
      <c r="H68" s="77">
        <f>(C68/E68)+D68</f>
        <v>45</v>
      </c>
      <c r="I68" s="78">
        <v>45</v>
      </c>
    </row>
    <row r="69" spans="1:9">
      <c r="A69" s="601">
        <f>A68+0.1</f>
        <v>1.2</v>
      </c>
      <c r="B69" s="602" t="s">
        <v>481</v>
      </c>
      <c r="C69" s="68">
        <f>+C60</f>
        <v>3</v>
      </c>
      <c r="D69" s="69">
        <v>1</v>
      </c>
      <c r="E69" s="70">
        <v>0.15</v>
      </c>
      <c r="F69" s="68"/>
      <c r="G69" s="71"/>
      <c r="H69" s="77">
        <f>(C69/E69)+D69</f>
        <v>21</v>
      </c>
      <c r="I69" s="78">
        <v>21</v>
      </c>
    </row>
    <row r="70" spans="1:9">
      <c r="A70" s="601">
        <f>A68+0.1</f>
        <v>1.2</v>
      </c>
      <c r="B70" s="602" t="s">
        <v>482</v>
      </c>
      <c r="C70" s="68">
        <f>+C63</f>
        <v>6.6</v>
      </c>
      <c r="D70" s="69">
        <v>1</v>
      </c>
      <c r="E70" s="70">
        <v>0.15</v>
      </c>
      <c r="F70" s="68"/>
      <c r="G70" s="71"/>
      <c r="H70" s="77">
        <f t="shared" ref="H70:H71" si="5">(C70/E70)+D70</f>
        <v>45</v>
      </c>
      <c r="I70" s="78">
        <v>45</v>
      </c>
    </row>
    <row r="71" spans="1:9">
      <c r="A71" s="601">
        <f>A69+0.1</f>
        <v>1.3</v>
      </c>
      <c r="B71" s="602" t="s">
        <v>483</v>
      </c>
      <c r="C71" s="68">
        <f>+C62</f>
        <v>3</v>
      </c>
      <c r="D71" s="69">
        <v>1</v>
      </c>
      <c r="E71" s="70">
        <v>0.15</v>
      </c>
      <c r="F71" s="68"/>
      <c r="G71" s="71"/>
      <c r="H71" s="77">
        <f t="shared" si="5"/>
        <v>21</v>
      </c>
      <c r="I71" s="78">
        <v>21</v>
      </c>
    </row>
    <row r="72" spans="1:9" ht="18.75" thickBot="1">
      <c r="A72" s="66"/>
      <c r="B72" s="67"/>
      <c r="C72" s="68"/>
      <c r="D72" s="69"/>
      <c r="E72" s="70"/>
      <c r="F72" s="68"/>
      <c r="G72" s="71"/>
      <c r="H72" s="79"/>
      <c r="I72" s="76"/>
    </row>
    <row r="73" spans="1:9" ht="19.5" thickTop="1" thickBot="1">
      <c r="A73" s="62" t="s">
        <v>2</v>
      </c>
      <c r="B73" s="63" t="s">
        <v>119</v>
      </c>
      <c r="C73" s="63" t="s">
        <v>488</v>
      </c>
      <c r="D73" s="65" t="s">
        <v>486</v>
      </c>
      <c r="E73" s="65" t="s">
        <v>478</v>
      </c>
      <c r="F73" s="63" t="s">
        <v>489</v>
      </c>
      <c r="G73" s="64" t="s">
        <v>490</v>
      </c>
      <c r="H73" s="64" t="s">
        <v>491</v>
      </c>
      <c r="I73" s="65" t="s">
        <v>492</v>
      </c>
    </row>
    <row r="74" spans="1:9" ht="18.75" thickTop="1">
      <c r="A74" s="66"/>
      <c r="B74" s="67"/>
      <c r="C74" s="68"/>
      <c r="D74" s="69"/>
      <c r="E74" s="70"/>
      <c r="F74" s="68"/>
      <c r="G74" s="71"/>
      <c r="H74" s="71"/>
      <c r="I74" s="72"/>
    </row>
    <row r="75" spans="1:9">
      <c r="A75" s="599">
        <v>1</v>
      </c>
      <c r="B75" s="600" t="s">
        <v>493</v>
      </c>
      <c r="C75" s="68"/>
      <c r="D75" s="69"/>
      <c r="E75" s="70"/>
      <c r="F75" s="68"/>
      <c r="G75" s="71"/>
      <c r="H75" s="71"/>
      <c r="I75" s="72"/>
    </row>
    <row r="76" spans="1:9">
      <c r="A76" s="601">
        <f>A75+0.1</f>
        <v>1.1000000000000001</v>
      </c>
      <c r="B76" s="602" t="s">
        <v>480</v>
      </c>
      <c r="C76" s="603">
        <v>1</v>
      </c>
      <c r="D76" s="604">
        <f>+I68</f>
        <v>45</v>
      </c>
      <c r="E76" s="605">
        <f>I60</f>
        <v>3.25</v>
      </c>
      <c r="F76" s="603">
        <v>2.2000000000000002</v>
      </c>
      <c r="G76" s="603">
        <v>1.1000000000000001</v>
      </c>
      <c r="H76" s="603">
        <v>100</v>
      </c>
      <c r="I76" s="606">
        <f>(C76*D76*E76*F76*G76)/H76</f>
        <v>3.54</v>
      </c>
    </row>
    <row r="77" spans="1:9">
      <c r="A77" s="601">
        <f>A76+0.1</f>
        <v>1.2</v>
      </c>
      <c r="B77" s="602" t="s">
        <v>481</v>
      </c>
      <c r="C77" s="603">
        <v>1</v>
      </c>
      <c r="D77" s="604">
        <f>+I69</f>
        <v>21</v>
      </c>
      <c r="E77" s="605">
        <f>I61</f>
        <v>6.85</v>
      </c>
      <c r="F77" s="603">
        <v>2.2000000000000002</v>
      </c>
      <c r="G77" s="603">
        <v>1.1000000000000001</v>
      </c>
      <c r="H77" s="603">
        <v>100</v>
      </c>
      <c r="I77" s="606">
        <f>(C77*D77*E77*F77*G77)/H77</f>
        <v>3.48</v>
      </c>
    </row>
    <row r="78" spans="1:9">
      <c r="A78" s="601">
        <f>A76+0.1</f>
        <v>1.2</v>
      </c>
      <c r="B78" s="602" t="s">
        <v>482</v>
      </c>
      <c r="C78" s="603">
        <v>1</v>
      </c>
      <c r="D78" s="604">
        <f>+I70</f>
        <v>45</v>
      </c>
      <c r="E78" s="605">
        <f>I62</f>
        <v>3.25</v>
      </c>
      <c r="F78" s="603">
        <v>2.2000000000000002</v>
      </c>
      <c r="G78" s="603">
        <v>1.1000000000000001</v>
      </c>
      <c r="H78" s="603">
        <v>100</v>
      </c>
      <c r="I78" s="606">
        <f t="shared" ref="I78:I79" si="6">(C78*D78*E78*F78*G78)/H78</f>
        <v>3.54</v>
      </c>
    </row>
    <row r="79" spans="1:9">
      <c r="A79" s="601">
        <f>A77+0.1</f>
        <v>1.3</v>
      </c>
      <c r="B79" s="602" t="s">
        <v>483</v>
      </c>
      <c r="C79" s="603">
        <v>1</v>
      </c>
      <c r="D79" s="604">
        <f>+I71</f>
        <v>21</v>
      </c>
      <c r="E79" s="605">
        <f>I63</f>
        <v>6.85</v>
      </c>
      <c r="F79" s="603">
        <v>2.2000000000000002</v>
      </c>
      <c r="G79" s="603">
        <v>1.1000000000000001</v>
      </c>
      <c r="H79" s="603">
        <v>100</v>
      </c>
      <c r="I79" s="606">
        <f t="shared" si="6"/>
        <v>3.48</v>
      </c>
    </row>
    <row r="80" spans="1:9" ht="18.75" thickBot="1">
      <c r="A80" s="601"/>
      <c r="B80" s="602"/>
      <c r="C80" s="607"/>
      <c r="D80" s="608"/>
      <c r="E80" s="609"/>
      <c r="F80" s="603"/>
      <c r="G80" s="610"/>
      <c r="H80" s="610"/>
      <c r="I80" s="606"/>
    </row>
    <row r="81" spans="1:9" ht="19.5" thickTop="1" thickBot="1">
      <c r="A81" s="62" t="s">
        <v>2</v>
      </c>
      <c r="B81" s="63" t="s">
        <v>119</v>
      </c>
      <c r="C81" s="81" t="s">
        <v>494</v>
      </c>
      <c r="D81" s="81" t="s">
        <v>495</v>
      </c>
      <c r="E81" s="81" t="s">
        <v>496</v>
      </c>
      <c r="F81" s="63" t="s">
        <v>113</v>
      </c>
      <c r="G81" s="64"/>
      <c r="H81" s="64"/>
      <c r="I81" s="65" t="s">
        <v>497</v>
      </c>
    </row>
    <row r="82" spans="1:9" ht="18.75" thickTop="1">
      <c r="A82" s="66"/>
      <c r="B82" s="67"/>
      <c r="C82" s="68"/>
      <c r="D82" s="69"/>
      <c r="E82" s="70"/>
      <c r="F82" s="68"/>
      <c r="G82" s="71"/>
      <c r="H82" s="71"/>
      <c r="I82" s="72"/>
    </row>
    <row r="83" spans="1:9">
      <c r="A83" s="599">
        <v>1</v>
      </c>
      <c r="B83" s="600" t="s">
        <v>498</v>
      </c>
      <c r="C83" s="68"/>
      <c r="D83" s="82">
        <f>SUM(I76:I79)</f>
        <v>14.04</v>
      </c>
      <c r="E83" s="70"/>
      <c r="F83" s="83">
        <f>6.6*3*0.2</f>
        <v>3.96</v>
      </c>
      <c r="G83" s="71"/>
      <c r="H83" s="71"/>
      <c r="I83" s="74">
        <f>(C83+D83+E83)/F83</f>
        <v>3.55</v>
      </c>
    </row>
    <row r="84" spans="1:9" ht="18.75" thickBot="1">
      <c r="A84" s="601"/>
      <c r="B84" s="602"/>
      <c r="C84" s="603"/>
      <c r="D84" s="604"/>
      <c r="E84" s="605"/>
      <c r="F84" s="603"/>
      <c r="G84" s="603"/>
      <c r="H84" s="603"/>
      <c r="I84" s="606"/>
    </row>
    <row r="85" spans="1:9" ht="19.5" thickTop="1" thickBot="1">
      <c r="A85" s="84"/>
      <c r="B85" s="85" t="s">
        <v>499</v>
      </c>
      <c r="C85" s="86">
        <f>+(C83*10)</f>
        <v>0</v>
      </c>
      <c r="D85" s="87">
        <f>+(D83*10)</f>
        <v>140.4</v>
      </c>
      <c r="E85" s="88"/>
      <c r="F85" s="86"/>
      <c r="G85" s="89"/>
      <c r="H85" s="89"/>
      <c r="I85" s="90"/>
    </row>
    <row r="86" spans="1:9" ht="19.5" thickTop="1" thickBot="1">
      <c r="A86" s="529" t="s">
        <v>504</v>
      </c>
      <c r="B86" s="530"/>
      <c r="C86" s="530"/>
      <c r="D86" s="530"/>
      <c r="E86" s="530"/>
      <c r="F86" s="530"/>
      <c r="G86" s="530"/>
      <c r="H86" s="530"/>
      <c r="I86" s="531"/>
    </row>
    <row r="87" spans="1:9" ht="19.5" thickTop="1" thickBot="1">
      <c r="A87" s="62"/>
      <c r="B87" s="63" t="s">
        <v>119</v>
      </c>
      <c r="C87" s="63" t="s">
        <v>5</v>
      </c>
      <c r="D87" s="63" t="s">
        <v>475</v>
      </c>
      <c r="E87" s="63" t="s">
        <v>476</v>
      </c>
      <c r="F87" s="63" t="s">
        <v>477</v>
      </c>
      <c r="G87" s="64"/>
      <c r="H87" s="64"/>
      <c r="I87" s="65" t="s">
        <v>478</v>
      </c>
    </row>
    <row r="88" spans="1:9" ht="18.75" thickTop="1">
      <c r="A88" s="66"/>
      <c r="B88" s="67"/>
      <c r="C88" s="68"/>
      <c r="D88" s="69"/>
      <c r="E88" s="70"/>
      <c r="F88" s="68"/>
      <c r="G88" s="71"/>
      <c r="H88" s="71"/>
      <c r="I88" s="72"/>
    </row>
    <row r="89" spans="1:9">
      <c r="A89" s="599">
        <v>1</v>
      </c>
      <c r="B89" s="600" t="s">
        <v>479</v>
      </c>
      <c r="C89" s="68"/>
      <c r="D89" s="69"/>
      <c r="E89" s="70"/>
      <c r="F89" s="68"/>
      <c r="G89" s="71"/>
      <c r="H89" s="71"/>
      <c r="I89" s="72"/>
    </row>
    <row r="90" spans="1:9">
      <c r="A90" s="601">
        <f>A89+0.1</f>
        <v>1.1000000000000001</v>
      </c>
      <c r="B90" s="602" t="s">
        <v>505</v>
      </c>
      <c r="C90" s="603">
        <v>1</v>
      </c>
      <c r="D90" s="604">
        <v>0.05</v>
      </c>
      <c r="E90" s="605">
        <v>0.4</v>
      </c>
      <c r="F90" s="603"/>
      <c r="G90" s="603"/>
      <c r="H90" s="603"/>
      <c r="I90" s="606">
        <f>(C90-D90)+E90+F90</f>
        <v>1.35</v>
      </c>
    </row>
    <row r="91" spans="1:9">
      <c r="A91" s="601">
        <f>A90+0.1</f>
        <v>1.2</v>
      </c>
      <c r="B91" s="602" t="s">
        <v>506</v>
      </c>
      <c r="C91" s="59">
        <v>1</v>
      </c>
      <c r="D91" s="604">
        <v>0.05</v>
      </c>
      <c r="E91" s="605">
        <v>0.4</v>
      </c>
      <c r="F91" s="603"/>
      <c r="G91" s="603"/>
      <c r="H91" s="603"/>
      <c r="I91" s="606">
        <f>(C91-D91)+E91+F91</f>
        <v>1.35</v>
      </c>
    </row>
    <row r="92" spans="1:9" ht="18.75" thickBot="1">
      <c r="A92" s="66"/>
      <c r="B92" s="73"/>
      <c r="C92" s="68"/>
      <c r="D92" s="69"/>
      <c r="E92" s="70"/>
      <c r="F92" s="68"/>
      <c r="G92" s="71"/>
      <c r="H92" s="71"/>
      <c r="I92" s="74"/>
    </row>
    <row r="93" spans="1:9" ht="19.5" thickTop="1" thickBot="1">
      <c r="A93" s="62" t="s">
        <v>2</v>
      </c>
      <c r="B93" s="63" t="s">
        <v>119</v>
      </c>
      <c r="C93" s="63" t="s">
        <v>5</v>
      </c>
      <c r="D93" s="63" t="s">
        <v>121</v>
      </c>
      <c r="E93" s="63" t="s">
        <v>484</v>
      </c>
      <c r="F93" s="63"/>
      <c r="G93" s="63"/>
      <c r="H93" s="63" t="s">
        <v>485</v>
      </c>
      <c r="I93" s="75" t="s">
        <v>486</v>
      </c>
    </row>
    <row r="94" spans="1:9" ht="18.75" thickTop="1">
      <c r="A94" s="66"/>
      <c r="B94" s="67"/>
      <c r="C94" s="68"/>
      <c r="D94" s="69"/>
      <c r="E94" s="70"/>
      <c r="F94" s="68">
        <v>0</v>
      </c>
      <c r="G94" s="71"/>
      <c r="H94" s="70"/>
      <c r="I94" s="76"/>
    </row>
    <row r="95" spans="1:9" ht="36">
      <c r="A95" s="599">
        <v>1</v>
      </c>
      <c r="B95" s="600" t="s">
        <v>487</v>
      </c>
      <c r="C95" s="68"/>
      <c r="D95" s="69"/>
      <c r="E95" s="70"/>
      <c r="F95" s="68"/>
      <c r="G95" s="71"/>
      <c r="H95" s="77"/>
      <c r="I95" s="76"/>
    </row>
    <row r="96" spans="1:9">
      <c r="A96" s="601">
        <f>A95+0.1</f>
        <v>1.1000000000000001</v>
      </c>
      <c r="B96" s="602" t="s">
        <v>505</v>
      </c>
      <c r="C96" s="68">
        <f>+C91</f>
        <v>1</v>
      </c>
      <c r="D96" s="69">
        <v>1</v>
      </c>
      <c r="E96" s="70">
        <v>0.15</v>
      </c>
      <c r="F96" s="68"/>
      <c r="G96" s="71"/>
      <c r="H96" s="77">
        <f>(C96/E96)+D96</f>
        <v>7.67</v>
      </c>
      <c r="I96" s="78">
        <v>9</v>
      </c>
    </row>
    <row r="97" spans="1:9">
      <c r="A97" s="601">
        <f>A96+0.1</f>
        <v>1.2</v>
      </c>
      <c r="B97" s="602" t="s">
        <v>506</v>
      </c>
      <c r="C97" s="68">
        <f>+C90</f>
        <v>1</v>
      </c>
      <c r="D97" s="69">
        <v>1</v>
      </c>
      <c r="E97" s="70">
        <v>0.15</v>
      </c>
      <c r="F97" s="68"/>
      <c r="G97" s="71"/>
      <c r="H97" s="77">
        <f>(C97/E97)+D97</f>
        <v>7.67</v>
      </c>
      <c r="I97" s="78">
        <v>29</v>
      </c>
    </row>
    <row r="98" spans="1:9" ht="18.75" thickBot="1">
      <c r="A98" s="66"/>
      <c r="B98" s="67"/>
      <c r="C98" s="68"/>
      <c r="D98" s="69"/>
      <c r="E98" s="70"/>
      <c r="F98" s="68"/>
      <c r="G98" s="71"/>
      <c r="H98" s="79"/>
      <c r="I98" s="76"/>
    </row>
    <row r="99" spans="1:9" ht="19.5" thickTop="1" thickBot="1">
      <c r="A99" s="62" t="s">
        <v>2</v>
      </c>
      <c r="B99" s="63" t="s">
        <v>119</v>
      </c>
      <c r="C99" s="63" t="s">
        <v>488</v>
      </c>
      <c r="D99" s="65" t="s">
        <v>486</v>
      </c>
      <c r="E99" s="65" t="s">
        <v>478</v>
      </c>
      <c r="F99" s="63" t="s">
        <v>489</v>
      </c>
      <c r="G99" s="64" t="s">
        <v>490</v>
      </c>
      <c r="H99" s="64" t="s">
        <v>491</v>
      </c>
      <c r="I99" s="65" t="s">
        <v>492</v>
      </c>
    </row>
    <row r="100" spans="1:9" ht="18.75" thickTop="1">
      <c r="A100" s="66"/>
      <c r="B100" s="67"/>
      <c r="C100" s="68"/>
      <c r="D100" s="69"/>
      <c r="E100" s="70"/>
      <c r="F100" s="68"/>
      <c r="G100" s="71"/>
      <c r="H100" s="71"/>
      <c r="I100" s="72"/>
    </row>
    <row r="101" spans="1:9">
      <c r="A101" s="599">
        <v>1</v>
      </c>
      <c r="B101" s="600" t="s">
        <v>493</v>
      </c>
      <c r="C101" s="68"/>
      <c r="D101" s="69"/>
      <c r="E101" s="70"/>
      <c r="F101" s="68"/>
      <c r="G101" s="71"/>
      <c r="H101" s="71"/>
      <c r="I101" s="72"/>
    </row>
    <row r="102" spans="1:9">
      <c r="A102" s="601">
        <f>A101+0.1</f>
        <v>1.1000000000000001</v>
      </c>
      <c r="B102" s="602" t="s">
        <v>505</v>
      </c>
      <c r="C102" s="603">
        <v>2</v>
      </c>
      <c r="D102" s="611">
        <f>I96</f>
        <v>9</v>
      </c>
      <c r="E102" s="605">
        <f>I90</f>
        <v>1.35</v>
      </c>
      <c r="F102" s="603">
        <v>2.2000000000000002</v>
      </c>
      <c r="G102" s="603">
        <v>1.1000000000000001</v>
      </c>
      <c r="H102" s="603">
        <v>100</v>
      </c>
      <c r="I102" s="606">
        <f>(C102*D102*E102*F102*G102)/H102</f>
        <v>0.59</v>
      </c>
    </row>
    <row r="103" spans="1:9">
      <c r="A103" s="601">
        <f>A102+0.1</f>
        <v>1.2</v>
      </c>
      <c r="B103" s="602" t="s">
        <v>506</v>
      </c>
      <c r="C103" s="603">
        <v>2</v>
      </c>
      <c r="D103" s="611">
        <f>I97</f>
        <v>29</v>
      </c>
      <c r="E103" s="605">
        <f>I91</f>
        <v>1.35</v>
      </c>
      <c r="F103" s="603">
        <v>2.2000000000000002</v>
      </c>
      <c r="G103" s="603">
        <v>1.1000000000000001</v>
      </c>
      <c r="H103" s="603">
        <v>100</v>
      </c>
      <c r="I103" s="606">
        <f>(C103*D103*E103*F103*G103)/H103</f>
        <v>1.89</v>
      </c>
    </row>
    <row r="104" spans="1:9" ht="18.75" thickBot="1">
      <c r="A104" s="601"/>
      <c r="B104" s="602"/>
      <c r="C104" s="607"/>
      <c r="D104" s="608"/>
      <c r="E104" s="609"/>
      <c r="F104" s="603"/>
      <c r="G104" s="610"/>
      <c r="H104" s="610"/>
      <c r="I104" s="606"/>
    </row>
    <row r="105" spans="1:9" ht="19.5" thickTop="1" thickBot="1">
      <c r="A105" s="62" t="s">
        <v>2</v>
      </c>
      <c r="B105" s="63" t="s">
        <v>119</v>
      </c>
      <c r="C105" s="81" t="s">
        <v>496</v>
      </c>
      <c r="D105" s="81" t="s">
        <v>495</v>
      </c>
      <c r="E105" s="81" t="s">
        <v>495</v>
      </c>
      <c r="F105" s="63" t="s">
        <v>113</v>
      </c>
      <c r="G105" s="64"/>
      <c r="H105" s="64"/>
      <c r="I105" s="65" t="s">
        <v>497</v>
      </c>
    </row>
    <row r="106" spans="1:9" ht="18.75" thickTop="1">
      <c r="A106" s="66"/>
      <c r="B106" s="67"/>
      <c r="C106" s="68"/>
      <c r="D106" s="69"/>
      <c r="E106" s="70"/>
      <c r="F106" s="68"/>
      <c r="G106" s="71"/>
      <c r="H106" s="71"/>
      <c r="I106" s="72"/>
    </row>
    <row r="107" spans="1:9">
      <c r="A107" s="599">
        <v>1</v>
      </c>
      <c r="B107" s="600" t="s">
        <v>498</v>
      </c>
      <c r="C107" s="68"/>
      <c r="D107" s="82">
        <f>+I102</f>
        <v>0.59</v>
      </c>
      <c r="E107" s="70">
        <f>+I103</f>
        <v>1.89</v>
      </c>
      <c r="F107" s="59">
        <f>1*1*0.25</f>
        <v>0.25</v>
      </c>
      <c r="G107" s="71"/>
      <c r="H107" s="71"/>
      <c r="I107" s="74">
        <f>(C107+D107+E107)/F107</f>
        <v>9.92</v>
      </c>
    </row>
    <row r="108" spans="1:9" ht="18.75" thickBot="1">
      <c r="A108" s="601"/>
      <c r="B108" s="602"/>
      <c r="C108" s="603"/>
      <c r="D108" s="604"/>
      <c r="E108" s="605"/>
      <c r="F108" s="603"/>
      <c r="G108" s="603"/>
      <c r="H108" s="603"/>
      <c r="I108" s="606"/>
    </row>
    <row r="109" spans="1:9" ht="19.5" thickTop="1" thickBot="1">
      <c r="A109" s="84"/>
      <c r="B109" s="85" t="s">
        <v>499</v>
      </c>
      <c r="C109" s="86">
        <f>+(C107*10)</f>
        <v>0</v>
      </c>
      <c r="D109" s="87">
        <f>+(D107*10)</f>
        <v>5.9</v>
      </c>
      <c r="E109" s="88"/>
      <c r="F109" s="86"/>
      <c r="G109" s="89"/>
      <c r="H109" s="89"/>
      <c r="I109" s="90"/>
    </row>
    <row r="110" spans="1:9" ht="19.5" thickTop="1" thickBot="1">
      <c r="A110" s="529" t="s">
        <v>350</v>
      </c>
      <c r="B110" s="530"/>
      <c r="C110" s="530"/>
      <c r="D110" s="530"/>
      <c r="E110" s="530"/>
      <c r="F110" s="530"/>
      <c r="G110" s="530"/>
      <c r="H110" s="530"/>
      <c r="I110" s="531"/>
    </row>
    <row r="111" spans="1:9" ht="19.5" thickTop="1" thickBot="1">
      <c r="A111" s="62"/>
      <c r="B111" s="63" t="s">
        <v>119</v>
      </c>
      <c r="C111" s="63" t="s">
        <v>5</v>
      </c>
      <c r="D111" s="63" t="s">
        <v>475</v>
      </c>
      <c r="E111" s="63" t="s">
        <v>476</v>
      </c>
      <c r="F111" s="63" t="s">
        <v>477</v>
      </c>
      <c r="G111" s="64"/>
      <c r="H111" s="64"/>
      <c r="I111" s="65" t="s">
        <v>478</v>
      </c>
    </row>
    <row r="112" spans="1:9" ht="18.75" thickTop="1">
      <c r="A112" s="66"/>
      <c r="B112" s="67"/>
      <c r="C112" s="68"/>
      <c r="D112" s="69"/>
      <c r="E112" s="70"/>
      <c r="F112" s="68"/>
      <c r="G112" s="71"/>
      <c r="H112" s="71"/>
      <c r="I112" s="72"/>
    </row>
    <row r="113" spans="1:9">
      <c r="A113" s="599">
        <v>1</v>
      </c>
      <c r="B113" s="600" t="s">
        <v>479</v>
      </c>
      <c r="C113" s="68"/>
      <c r="D113" s="69"/>
      <c r="E113" s="70"/>
      <c r="F113" s="68"/>
      <c r="G113" s="71"/>
      <c r="H113" s="71"/>
      <c r="I113" s="72"/>
    </row>
    <row r="114" spans="1:9">
      <c r="A114" s="601">
        <f>A113+0.1</f>
        <v>1.1000000000000001</v>
      </c>
      <c r="B114" s="602" t="s">
        <v>480</v>
      </c>
      <c r="C114" s="603">
        <v>2.5</v>
      </c>
      <c r="D114" s="604">
        <v>0.05</v>
      </c>
      <c r="E114" s="605">
        <v>0.3</v>
      </c>
      <c r="F114" s="603"/>
      <c r="G114" s="603"/>
      <c r="H114" s="603"/>
      <c r="I114" s="606">
        <f t="shared" ref="I114:I116" si="7">(C114-D114)+E114+F114</f>
        <v>2.75</v>
      </c>
    </row>
    <row r="115" spans="1:9">
      <c r="A115" s="601">
        <f>A114+0.1</f>
        <v>1.2</v>
      </c>
      <c r="B115" s="602" t="s">
        <v>481</v>
      </c>
      <c r="C115" s="603">
        <v>2.5</v>
      </c>
      <c r="D115" s="604">
        <v>0.05</v>
      </c>
      <c r="E115" s="605">
        <v>0.3</v>
      </c>
      <c r="F115" s="603"/>
      <c r="G115" s="603"/>
      <c r="H115" s="603"/>
      <c r="I115" s="606">
        <f t="shared" ref="I115" si="8">(C115-D115)+E115+F115</f>
        <v>2.75</v>
      </c>
    </row>
    <row r="116" spans="1:9">
      <c r="A116" s="601">
        <f>A114+0.1</f>
        <v>1.2</v>
      </c>
      <c r="B116" s="602" t="s">
        <v>482</v>
      </c>
      <c r="C116" s="603">
        <v>2.5</v>
      </c>
      <c r="D116" s="604">
        <v>0.05</v>
      </c>
      <c r="E116" s="605">
        <v>0.3</v>
      </c>
      <c r="F116" s="603"/>
      <c r="G116" s="603"/>
      <c r="H116" s="603"/>
      <c r="I116" s="606">
        <f t="shared" si="7"/>
        <v>2.75</v>
      </c>
    </row>
    <row r="117" spans="1:9">
      <c r="A117" s="601">
        <f>A115+0.1</f>
        <v>1.3</v>
      </c>
      <c r="B117" s="602" t="s">
        <v>483</v>
      </c>
      <c r="C117" s="603">
        <v>2.5</v>
      </c>
      <c r="D117" s="604">
        <v>0.05</v>
      </c>
      <c r="E117" s="605">
        <v>0.3</v>
      </c>
      <c r="F117" s="603"/>
      <c r="G117" s="603"/>
      <c r="H117" s="603"/>
      <c r="I117" s="606">
        <f t="shared" ref="I117" si="9">(C117-D117)+E117+F117</f>
        <v>2.75</v>
      </c>
    </row>
    <row r="118" spans="1:9" ht="18.75" thickBot="1">
      <c r="A118" s="66"/>
      <c r="B118" s="73"/>
      <c r="C118" s="68"/>
      <c r="D118" s="69"/>
      <c r="E118" s="70"/>
      <c r="F118" s="68"/>
      <c r="G118" s="71"/>
      <c r="H118" s="71"/>
      <c r="I118" s="74"/>
    </row>
    <row r="119" spans="1:9" ht="19.5" thickTop="1" thickBot="1">
      <c r="A119" s="62" t="s">
        <v>2</v>
      </c>
      <c r="B119" s="63" t="s">
        <v>119</v>
      </c>
      <c r="C119" s="63" t="s">
        <v>5</v>
      </c>
      <c r="D119" s="63" t="s">
        <v>121</v>
      </c>
      <c r="E119" s="63" t="s">
        <v>484</v>
      </c>
      <c r="F119" s="63"/>
      <c r="G119" s="63"/>
      <c r="H119" s="63" t="s">
        <v>485</v>
      </c>
      <c r="I119" s="75" t="s">
        <v>486</v>
      </c>
    </row>
    <row r="120" spans="1:9" ht="18.75" thickTop="1">
      <c r="A120" s="66"/>
      <c r="B120" s="67"/>
      <c r="C120" s="68"/>
      <c r="D120" s="69"/>
      <c r="E120" s="70"/>
      <c r="F120" s="68"/>
      <c r="G120" s="71"/>
      <c r="H120" s="70"/>
      <c r="I120" s="76"/>
    </row>
    <row r="121" spans="1:9" ht="36">
      <c r="A121" s="599">
        <v>1</v>
      </c>
      <c r="B121" s="600" t="s">
        <v>487</v>
      </c>
      <c r="C121" s="68"/>
      <c r="D121" s="69"/>
      <c r="E121" s="70"/>
      <c r="F121" s="68"/>
      <c r="G121" s="71"/>
      <c r="H121" s="77"/>
      <c r="I121" s="76"/>
    </row>
    <row r="122" spans="1:9">
      <c r="A122" s="601">
        <f>A121+0.1</f>
        <v>1.1000000000000001</v>
      </c>
      <c r="B122" s="602" t="s">
        <v>480</v>
      </c>
      <c r="C122" s="68">
        <f>C116</f>
        <v>2.5</v>
      </c>
      <c r="D122" s="69">
        <v>1</v>
      </c>
      <c r="E122" s="70">
        <v>0.1</v>
      </c>
      <c r="F122" s="68"/>
      <c r="G122" s="71"/>
      <c r="H122" s="77">
        <f>(C122/E122)+D122</f>
        <v>26</v>
      </c>
      <c r="I122" s="78">
        <v>26</v>
      </c>
    </row>
    <row r="123" spans="1:9">
      <c r="A123" s="601">
        <f>A122+0.1</f>
        <v>1.2</v>
      </c>
      <c r="B123" s="602" t="s">
        <v>481</v>
      </c>
      <c r="C123" s="68">
        <f>C117</f>
        <v>2.5</v>
      </c>
      <c r="D123" s="69">
        <v>1</v>
      </c>
      <c r="E123" s="70">
        <v>0.15</v>
      </c>
      <c r="F123" s="68"/>
      <c r="G123" s="71"/>
      <c r="H123" s="77">
        <f>(C123/E123)+D123</f>
        <v>17.670000000000002</v>
      </c>
      <c r="I123" s="78">
        <v>18</v>
      </c>
    </row>
    <row r="124" spans="1:9">
      <c r="A124" s="601">
        <f>A122+0.1</f>
        <v>1.2</v>
      </c>
      <c r="B124" s="602" t="s">
        <v>482</v>
      </c>
      <c r="C124" s="68">
        <f>C114</f>
        <v>2.5</v>
      </c>
      <c r="D124" s="69">
        <v>1</v>
      </c>
      <c r="E124" s="70">
        <v>0.1</v>
      </c>
      <c r="F124" s="68"/>
      <c r="G124" s="71"/>
      <c r="H124" s="77">
        <f t="shared" ref="H124" si="10">(C124/E124)+D124</f>
        <v>26</v>
      </c>
      <c r="I124" s="78">
        <v>26</v>
      </c>
    </row>
    <row r="125" spans="1:9">
      <c r="A125" s="601">
        <f>A123+0.1</f>
        <v>1.3</v>
      </c>
      <c r="B125" s="602" t="s">
        <v>483</v>
      </c>
      <c r="C125" s="68">
        <f>C115</f>
        <v>2.5</v>
      </c>
      <c r="D125" s="69">
        <v>1</v>
      </c>
      <c r="E125" s="70">
        <v>0.15</v>
      </c>
      <c r="F125" s="68"/>
      <c r="G125" s="71"/>
      <c r="H125" s="77">
        <f t="shared" ref="H125" si="11">(C125/E125)+D125</f>
        <v>17.670000000000002</v>
      </c>
      <c r="I125" s="78">
        <v>18</v>
      </c>
    </row>
    <row r="126" spans="1:9" ht="18.75" thickBot="1">
      <c r="A126" s="66"/>
      <c r="B126" s="67"/>
      <c r="C126" s="68"/>
      <c r="D126" s="69"/>
      <c r="E126" s="70"/>
      <c r="F126" s="68"/>
      <c r="G126" s="71"/>
      <c r="H126" s="79"/>
      <c r="I126" s="76"/>
    </row>
    <row r="127" spans="1:9" ht="19.5" thickTop="1" thickBot="1">
      <c r="A127" s="62" t="s">
        <v>2</v>
      </c>
      <c r="B127" s="63" t="s">
        <v>119</v>
      </c>
      <c r="C127" s="63" t="s">
        <v>488</v>
      </c>
      <c r="D127" s="65" t="s">
        <v>486</v>
      </c>
      <c r="E127" s="65" t="s">
        <v>478</v>
      </c>
      <c r="F127" s="63" t="s">
        <v>489</v>
      </c>
      <c r="G127" s="64" t="s">
        <v>490</v>
      </c>
      <c r="H127" s="64" t="s">
        <v>491</v>
      </c>
      <c r="I127" s="65" t="s">
        <v>492</v>
      </c>
    </row>
    <row r="128" spans="1:9" ht="18.75" thickTop="1">
      <c r="A128" s="66"/>
      <c r="B128" s="67"/>
      <c r="C128" s="68"/>
      <c r="D128" s="69"/>
      <c r="E128" s="70"/>
      <c r="F128" s="68"/>
      <c r="G128" s="71"/>
      <c r="H128" s="71"/>
      <c r="I128" s="72"/>
    </row>
    <row r="129" spans="1:9">
      <c r="A129" s="599">
        <v>1</v>
      </c>
      <c r="B129" s="600" t="s">
        <v>493</v>
      </c>
      <c r="C129" s="68"/>
      <c r="D129" s="69"/>
      <c r="E129" s="70"/>
      <c r="F129" s="68"/>
      <c r="G129" s="71"/>
      <c r="H129" s="71"/>
      <c r="I129" s="72"/>
    </row>
    <row r="130" spans="1:9">
      <c r="A130" s="601">
        <f>A129+0.1</f>
        <v>1.1000000000000001</v>
      </c>
      <c r="B130" s="602" t="s">
        <v>480</v>
      </c>
      <c r="C130" s="603">
        <v>1</v>
      </c>
      <c r="D130" s="604">
        <f>+I122</f>
        <v>26</v>
      </c>
      <c r="E130" s="605">
        <f>I114</f>
        <v>2.75</v>
      </c>
      <c r="F130" s="603">
        <v>2.2000000000000002</v>
      </c>
      <c r="G130" s="603">
        <v>1.1000000000000001</v>
      </c>
      <c r="H130" s="603">
        <v>100</v>
      </c>
      <c r="I130" s="606">
        <f>(C130*D130*E130*F130*G130)/H130</f>
        <v>1.73</v>
      </c>
    </row>
    <row r="131" spans="1:9">
      <c r="A131" s="601">
        <f>A130+0.1</f>
        <v>1.2</v>
      </c>
      <c r="B131" s="602" t="s">
        <v>481</v>
      </c>
      <c r="C131" s="603">
        <v>1</v>
      </c>
      <c r="D131" s="604">
        <f>+I123</f>
        <v>18</v>
      </c>
      <c r="E131" s="605">
        <f>I115</f>
        <v>2.75</v>
      </c>
      <c r="F131" s="603">
        <v>2.2000000000000002</v>
      </c>
      <c r="G131" s="603">
        <v>1.1000000000000001</v>
      </c>
      <c r="H131" s="603">
        <v>100</v>
      </c>
      <c r="I131" s="606">
        <f>(C131*D131*E131*F131*G131)/H131</f>
        <v>1.2</v>
      </c>
    </row>
    <row r="132" spans="1:9">
      <c r="A132" s="601">
        <f>A130+0.1</f>
        <v>1.2</v>
      </c>
      <c r="B132" s="602" t="s">
        <v>482</v>
      </c>
      <c r="C132" s="603">
        <v>1</v>
      </c>
      <c r="D132" s="604">
        <f>+I124</f>
        <v>26</v>
      </c>
      <c r="E132" s="605">
        <f>I116</f>
        <v>2.75</v>
      </c>
      <c r="F132" s="603">
        <v>2.2000000000000002</v>
      </c>
      <c r="G132" s="603">
        <v>1.1000000000000001</v>
      </c>
      <c r="H132" s="603">
        <v>100</v>
      </c>
      <c r="I132" s="606">
        <f t="shared" ref="I132" si="12">(C132*D132*E132*F132*G132)/H132</f>
        <v>1.73</v>
      </c>
    </row>
    <row r="133" spans="1:9">
      <c r="A133" s="601">
        <f>A131+0.1</f>
        <v>1.3</v>
      </c>
      <c r="B133" s="602" t="s">
        <v>483</v>
      </c>
      <c r="C133" s="603">
        <v>1</v>
      </c>
      <c r="D133" s="604">
        <f>+I125</f>
        <v>18</v>
      </c>
      <c r="E133" s="605">
        <f>I117</f>
        <v>2.75</v>
      </c>
      <c r="F133" s="603">
        <v>2.2000000000000002</v>
      </c>
      <c r="G133" s="603">
        <v>1.1000000000000001</v>
      </c>
      <c r="H133" s="603">
        <v>100</v>
      </c>
      <c r="I133" s="606">
        <f t="shared" ref="I133" si="13">(C133*D133*E133*F133*G133)/H133</f>
        <v>1.2</v>
      </c>
    </row>
    <row r="134" spans="1:9" ht="18.75" thickBot="1">
      <c r="A134" s="601"/>
      <c r="B134" s="602"/>
      <c r="C134" s="607"/>
      <c r="D134" s="608"/>
      <c r="E134" s="609"/>
      <c r="F134" s="603"/>
      <c r="G134" s="610"/>
      <c r="H134" s="610"/>
      <c r="I134" s="606"/>
    </row>
    <row r="135" spans="1:9" ht="19.5" thickTop="1" thickBot="1">
      <c r="A135" s="62" t="s">
        <v>2</v>
      </c>
      <c r="B135" s="63" t="s">
        <v>119</v>
      </c>
      <c r="C135" s="81" t="s">
        <v>494</v>
      </c>
      <c r="D135" s="81" t="s">
        <v>495</v>
      </c>
      <c r="E135" s="81" t="s">
        <v>496</v>
      </c>
      <c r="F135" s="63" t="s">
        <v>113</v>
      </c>
      <c r="G135" s="64"/>
      <c r="H135" s="64"/>
      <c r="I135" s="65" t="s">
        <v>497</v>
      </c>
    </row>
    <row r="136" spans="1:9" ht="18.75" thickTop="1">
      <c r="A136" s="66"/>
      <c r="B136" s="67"/>
      <c r="C136" s="68"/>
      <c r="D136" s="69"/>
      <c r="E136" s="70"/>
      <c r="F136" s="68"/>
      <c r="G136" s="71"/>
      <c r="H136" s="71"/>
      <c r="I136" s="72"/>
    </row>
    <row r="137" spans="1:9">
      <c r="A137" s="599">
        <v>1</v>
      </c>
      <c r="B137" s="600" t="s">
        <v>498</v>
      </c>
      <c r="C137" s="68"/>
      <c r="D137" s="82">
        <f>SUM(I130:I133)</f>
        <v>5.86</v>
      </c>
      <c r="E137" s="70"/>
      <c r="F137" s="83">
        <f>2.5*2.5*0.25</f>
        <v>1.56</v>
      </c>
      <c r="G137" s="71"/>
      <c r="H137" s="71"/>
      <c r="I137" s="74">
        <f>(C137+D137+E137)/F137</f>
        <v>3.76</v>
      </c>
    </row>
    <row r="138" spans="1:9" ht="18.75" thickBot="1">
      <c r="A138" s="601"/>
      <c r="B138" s="602"/>
      <c r="C138" s="603"/>
      <c r="D138" s="604"/>
      <c r="E138" s="605"/>
      <c r="F138" s="603"/>
      <c r="G138" s="603"/>
      <c r="H138" s="603"/>
      <c r="I138" s="606"/>
    </row>
    <row r="139" spans="1:9" ht="19.5" thickTop="1" thickBot="1">
      <c r="A139" s="84"/>
      <c r="B139" s="85" t="s">
        <v>499</v>
      </c>
      <c r="C139" s="86">
        <f>+(C137*10)</f>
        <v>0</v>
      </c>
      <c r="D139" s="87">
        <f>+(D137*10)</f>
        <v>58.6</v>
      </c>
      <c r="E139" s="88"/>
      <c r="F139" s="86"/>
      <c r="G139" s="89"/>
      <c r="H139" s="89"/>
      <c r="I139" s="90"/>
    </row>
    <row r="140" spans="1:9" ht="19.5" thickTop="1" thickBot="1">
      <c r="A140" s="529" t="s">
        <v>507</v>
      </c>
      <c r="B140" s="530"/>
      <c r="C140" s="530"/>
      <c r="D140" s="530"/>
      <c r="E140" s="530"/>
      <c r="F140" s="530"/>
      <c r="G140" s="530"/>
      <c r="H140" s="530"/>
      <c r="I140" s="531"/>
    </row>
    <row r="141" spans="1:9" ht="19.5" thickTop="1" thickBot="1">
      <c r="A141" s="62"/>
      <c r="B141" s="63" t="s">
        <v>119</v>
      </c>
      <c r="C141" s="63" t="s">
        <v>5</v>
      </c>
      <c r="D141" s="63" t="s">
        <v>475</v>
      </c>
      <c r="E141" s="63" t="s">
        <v>476</v>
      </c>
      <c r="F141" s="63" t="s">
        <v>477</v>
      </c>
      <c r="G141" s="64"/>
      <c r="H141" s="64"/>
      <c r="I141" s="65" t="s">
        <v>478</v>
      </c>
    </row>
    <row r="142" spans="1:9" ht="18.75" thickTop="1">
      <c r="A142" s="66"/>
      <c r="B142" s="67"/>
      <c r="C142" s="68"/>
      <c r="D142" s="69"/>
      <c r="E142" s="70"/>
      <c r="F142" s="68"/>
      <c r="G142" s="71"/>
      <c r="H142" s="71"/>
      <c r="I142" s="72"/>
    </row>
    <row r="143" spans="1:9">
      <c r="A143" s="599">
        <v>1</v>
      </c>
      <c r="B143" s="600" t="s">
        <v>479</v>
      </c>
      <c r="C143" s="68"/>
      <c r="D143" s="69"/>
      <c r="E143" s="70"/>
      <c r="F143" s="68"/>
      <c r="G143" s="71"/>
      <c r="H143" s="71"/>
      <c r="I143" s="72"/>
    </row>
    <row r="144" spans="1:9">
      <c r="A144" s="601">
        <f>A143+0.1</f>
        <v>1.1000000000000001</v>
      </c>
      <c r="B144" s="602" t="s">
        <v>505</v>
      </c>
      <c r="C144" s="603">
        <v>2.5</v>
      </c>
      <c r="D144" s="604">
        <v>0.05</v>
      </c>
      <c r="E144" s="605">
        <v>0.4</v>
      </c>
      <c r="F144" s="603"/>
      <c r="G144" s="603"/>
      <c r="H144" s="603"/>
      <c r="I144" s="606">
        <f>(C144-D144)+E144+F144</f>
        <v>2.85</v>
      </c>
    </row>
    <row r="145" spans="1:9">
      <c r="A145" s="601">
        <f>A144+0.1</f>
        <v>1.2</v>
      </c>
      <c r="B145" s="602" t="s">
        <v>506</v>
      </c>
      <c r="C145" s="59">
        <v>1.72</v>
      </c>
      <c r="D145" s="604">
        <v>0.05</v>
      </c>
      <c r="E145" s="605">
        <v>0.4</v>
      </c>
      <c r="F145" s="603"/>
      <c r="G145" s="603"/>
      <c r="H145" s="603"/>
      <c r="I145" s="606">
        <f>(C145-D145)+E145+F145</f>
        <v>2.0699999999999998</v>
      </c>
    </row>
    <row r="146" spans="1:9" ht="18.75" thickBot="1">
      <c r="A146" s="66"/>
      <c r="B146" s="73"/>
      <c r="C146" s="68"/>
      <c r="D146" s="69"/>
      <c r="E146" s="70"/>
      <c r="F146" s="68"/>
      <c r="G146" s="71"/>
      <c r="H146" s="71"/>
      <c r="I146" s="74"/>
    </row>
    <row r="147" spans="1:9" ht="19.5" thickTop="1" thickBot="1">
      <c r="A147" s="62" t="s">
        <v>2</v>
      </c>
      <c r="B147" s="63" t="s">
        <v>119</v>
      </c>
      <c r="C147" s="63" t="s">
        <v>5</v>
      </c>
      <c r="D147" s="63" t="s">
        <v>121</v>
      </c>
      <c r="E147" s="63" t="s">
        <v>484</v>
      </c>
      <c r="F147" s="63"/>
      <c r="G147" s="63"/>
      <c r="H147" s="63" t="s">
        <v>485</v>
      </c>
      <c r="I147" s="75" t="s">
        <v>486</v>
      </c>
    </row>
    <row r="148" spans="1:9" ht="18.75" thickTop="1">
      <c r="A148" s="66"/>
      <c r="B148" s="67"/>
      <c r="C148" s="68"/>
      <c r="D148" s="69"/>
      <c r="E148" s="70"/>
      <c r="F148" s="68">
        <v>0</v>
      </c>
      <c r="G148" s="71"/>
      <c r="H148" s="70"/>
      <c r="I148" s="76"/>
    </row>
    <row r="149" spans="1:9" ht="36">
      <c r="A149" s="599">
        <v>1</v>
      </c>
      <c r="B149" s="600" t="s">
        <v>487</v>
      </c>
      <c r="C149" s="68"/>
      <c r="D149" s="69"/>
      <c r="E149" s="70"/>
      <c r="F149" s="68"/>
      <c r="G149" s="71"/>
      <c r="H149" s="77"/>
      <c r="I149" s="76"/>
    </row>
    <row r="150" spans="1:9">
      <c r="A150" s="601">
        <f>A149+0.1</f>
        <v>1.1000000000000001</v>
      </c>
      <c r="B150" s="602" t="s">
        <v>505</v>
      </c>
      <c r="C150" s="68">
        <f>+C145</f>
        <v>1.72</v>
      </c>
      <c r="D150" s="69">
        <v>1</v>
      </c>
      <c r="E150" s="70">
        <v>0.2</v>
      </c>
      <c r="F150" s="68"/>
      <c r="G150" s="71"/>
      <c r="H150" s="77">
        <f>(C150/E150)+D150</f>
        <v>9.6</v>
      </c>
      <c r="I150" s="78">
        <v>10</v>
      </c>
    </row>
    <row r="151" spans="1:9">
      <c r="A151" s="601">
        <f>A150+0.1</f>
        <v>1.2</v>
      </c>
      <c r="B151" s="602" t="s">
        <v>506</v>
      </c>
      <c r="C151" s="68">
        <f>+C144</f>
        <v>2.5</v>
      </c>
      <c r="D151" s="69">
        <v>1</v>
      </c>
      <c r="E151" s="70">
        <v>0.2</v>
      </c>
      <c r="F151" s="68"/>
      <c r="G151" s="71"/>
      <c r="H151" s="77">
        <f>(C151/E151)+D151</f>
        <v>13.5</v>
      </c>
      <c r="I151" s="78">
        <v>14</v>
      </c>
    </row>
    <row r="152" spans="1:9" ht="18.75" thickBot="1">
      <c r="A152" s="66"/>
      <c r="B152" s="67"/>
      <c r="C152" s="68"/>
      <c r="D152" s="69"/>
      <c r="E152" s="70"/>
      <c r="F152" s="68"/>
      <c r="G152" s="71"/>
      <c r="H152" s="79"/>
      <c r="I152" s="76"/>
    </row>
    <row r="153" spans="1:9" ht="19.5" thickTop="1" thickBot="1">
      <c r="A153" s="62" t="s">
        <v>2</v>
      </c>
      <c r="B153" s="63" t="s">
        <v>119</v>
      </c>
      <c r="C153" s="63" t="s">
        <v>488</v>
      </c>
      <c r="D153" s="65" t="s">
        <v>486</v>
      </c>
      <c r="E153" s="65" t="s">
        <v>478</v>
      </c>
      <c r="F153" s="63" t="s">
        <v>489</v>
      </c>
      <c r="G153" s="64" t="s">
        <v>490</v>
      </c>
      <c r="H153" s="64" t="s">
        <v>491</v>
      </c>
      <c r="I153" s="65" t="s">
        <v>492</v>
      </c>
    </row>
    <row r="154" spans="1:9" ht="18.75" thickTop="1">
      <c r="A154" s="66"/>
      <c r="B154" s="67"/>
      <c r="C154" s="68"/>
      <c r="D154" s="69"/>
      <c r="E154" s="70"/>
      <c r="F154" s="68"/>
      <c r="G154" s="71"/>
      <c r="H154" s="71"/>
      <c r="I154" s="72"/>
    </row>
    <row r="155" spans="1:9">
      <c r="A155" s="599">
        <v>1</v>
      </c>
      <c r="B155" s="600" t="s">
        <v>493</v>
      </c>
      <c r="C155" s="68"/>
      <c r="D155" s="69"/>
      <c r="E155" s="70"/>
      <c r="F155" s="68"/>
      <c r="G155" s="71"/>
      <c r="H155" s="71"/>
      <c r="I155" s="72"/>
    </row>
    <row r="156" spans="1:9">
      <c r="A156" s="601">
        <f>A155+0.1</f>
        <v>1.1000000000000001</v>
      </c>
      <c r="B156" s="602" t="s">
        <v>505</v>
      </c>
      <c r="C156" s="603">
        <v>2</v>
      </c>
      <c r="D156" s="611">
        <f>I150</f>
        <v>10</v>
      </c>
      <c r="E156" s="605">
        <f>I144</f>
        <v>2.85</v>
      </c>
      <c r="F156" s="603">
        <v>2.2000000000000002</v>
      </c>
      <c r="G156" s="603">
        <v>1.1000000000000001</v>
      </c>
      <c r="H156" s="603">
        <v>100</v>
      </c>
      <c r="I156" s="606">
        <f>(C156*D156*E156*F156*G156)/H156</f>
        <v>1.38</v>
      </c>
    </row>
    <row r="157" spans="1:9">
      <c r="A157" s="601">
        <f>A156+0.1</f>
        <v>1.2</v>
      </c>
      <c r="B157" s="602" t="s">
        <v>506</v>
      </c>
      <c r="C157" s="603">
        <v>2</v>
      </c>
      <c r="D157" s="611">
        <f>I151</f>
        <v>14</v>
      </c>
      <c r="E157" s="605">
        <f>I145</f>
        <v>2.0699999999999998</v>
      </c>
      <c r="F157" s="603">
        <v>2.2000000000000002</v>
      </c>
      <c r="G157" s="603">
        <v>1.1000000000000001</v>
      </c>
      <c r="H157" s="603">
        <v>100</v>
      </c>
      <c r="I157" s="606">
        <f>(C157*D157*E157*F157*G157)/H157</f>
        <v>1.4</v>
      </c>
    </row>
    <row r="158" spans="1:9" ht="18.75" thickBot="1">
      <c r="A158" s="601"/>
      <c r="B158" s="602"/>
      <c r="C158" s="607"/>
      <c r="D158" s="608"/>
      <c r="E158" s="609"/>
      <c r="F158" s="603"/>
      <c r="G158" s="610"/>
      <c r="H158" s="610"/>
      <c r="I158" s="606"/>
    </row>
    <row r="159" spans="1:9" ht="19.5" thickTop="1" thickBot="1">
      <c r="A159" s="62" t="s">
        <v>2</v>
      </c>
      <c r="B159" s="63" t="s">
        <v>119</v>
      </c>
      <c r="C159" s="81" t="s">
        <v>496</v>
      </c>
      <c r="D159" s="81" t="s">
        <v>495</v>
      </c>
      <c r="E159" s="81" t="s">
        <v>496</v>
      </c>
      <c r="F159" s="63" t="s">
        <v>113</v>
      </c>
      <c r="G159" s="64"/>
      <c r="H159" s="64"/>
      <c r="I159" s="65" t="s">
        <v>497</v>
      </c>
    </row>
    <row r="160" spans="1:9" ht="18.75" thickTop="1">
      <c r="A160" s="66"/>
      <c r="B160" s="67"/>
      <c r="C160" s="68"/>
      <c r="D160" s="69"/>
      <c r="E160" s="70"/>
      <c r="F160" s="68"/>
      <c r="G160" s="71"/>
      <c r="H160" s="71"/>
      <c r="I160" s="72"/>
    </row>
    <row r="161" spans="1:9">
      <c r="A161" s="599">
        <v>1</v>
      </c>
      <c r="B161" s="600" t="s">
        <v>498</v>
      </c>
      <c r="C161" s="68"/>
      <c r="D161" s="82">
        <f>SUM(I156:I157)</f>
        <v>2.78</v>
      </c>
      <c r="E161" s="70"/>
      <c r="F161" s="59">
        <f>2.5*2.4*0.25</f>
        <v>1.5</v>
      </c>
      <c r="G161" s="71"/>
      <c r="H161" s="71"/>
      <c r="I161" s="74">
        <f>(C161+D161+E161)/F161</f>
        <v>1.85</v>
      </c>
    </row>
    <row r="162" spans="1:9" ht="18.75" thickBot="1">
      <c r="A162" s="601"/>
      <c r="B162" s="602"/>
      <c r="C162" s="603"/>
      <c r="D162" s="604"/>
      <c r="E162" s="605"/>
      <c r="F162" s="603"/>
      <c r="G162" s="603"/>
      <c r="H162" s="603"/>
      <c r="I162" s="606"/>
    </row>
    <row r="163" spans="1:9" ht="19.5" thickTop="1" thickBot="1">
      <c r="A163" s="84"/>
      <c r="B163" s="85" t="s">
        <v>499</v>
      </c>
      <c r="C163" s="86">
        <f>+(C161*10)</f>
        <v>0</v>
      </c>
      <c r="D163" s="87">
        <f>+(D161*10)</f>
        <v>27.8</v>
      </c>
      <c r="E163" s="88"/>
      <c r="F163" s="86"/>
      <c r="G163" s="89"/>
      <c r="H163" s="89"/>
      <c r="I163" s="90"/>
    </row>
    <row r="164" spans="1:9" ht="19.5" thickTop="1" thickBot="1">
      <c r="A164" s="529" t="s">
        <v>508</v>
      </c>
      <c r="B164" s="530"/>
      <c r="C164" s="530"/>
      <c r="D164" s="530"/>
      <c r="E164" s="530"/>
      <c r="F164" s="530"/>
      <c r="G164" s="530"/>
      <c r="H164" s="530"/>
      <c r="I164" s="531"/>
    </row>
    <row r="165" spans="1:9" ht="19.5" thickTop="1" thickBot="1">
      <c r="A165" s="62"/>
      <c r="B165" s="63" t="s">
        <v>119</v>
      </c>
      <c r="C165" s="63" t="s">
        <v>5</v>
      </c>
      <c r="D165" s="63" t="s">
        <v>475</v>
      </c>
      <c r="E165" s="63" t="s">
        <v>476</v>
      </c>
      <c r="F165" s="63" t="s">
        <v>477</v>
      </c>
      <c r="G165" s="64"/>
      <c r="H165" s="64"/>
      <c r="I165" s="65" t="s">
        <v>478</v>
      </c>
    </row>
    <row r="166" spans="1:9" ht="18.75" thickTop="1">
      <c r="A166" s="66"/>
      <c r="B166" s="67"/>
      <c r="C166" s="68"/>
      <c r="D166" s="69"/>
      <c r="E166" s="70"/>
      <c r="F166" s="68"/>
      <c r="G166" s="71"/>
      <c r="H166" s="71"/>
      <c r="I166" s="72"/>
    </row>
    <row r="167" spans="1:9">
      <c r="A167" s="599">
        <v>1</v>
      </c>
      <c r="B167" s="600" t="s">
        <v>479</v>
      </c>
      <c r="C167" s="68"/>
      <c r="D167" s="69"/>
      <c r="E167" s="70"/>
      <c r="F167" s="68"/>
      <c r="G167" s="71"/>
      <c r="H167" s="71"/>
      <c r="I167" s="72"/>
    </row>
    <row r="168" spans="1:9">
      <c r="A168" s="601">
        <f>A167+0.1</f>
        <v>1.1000000000000001</v>
      </c>
      <c r="B168" s="602" t="s">
        <v>480</v>
      </c>
      <c r="C168" s="603">
        <v>2.5</v>
      </c>
      <c r="D168" s="604">
        <v>0.05</v>
      </c>
      <c r="E168" s="605">
        <v>0.3</v>
      </c>
      <c r="F168" s="603"/>
      <c r="G168" s="603"/>
      <c r="H168" s="603"/>
      <c r="I168" s="606">
        <f t="shared" ref="I168:I171" si="14">(C168-D168)+E168+F168</f>
        <v>2.75</v>
      </c>
    </row>
    <row r="169" spans="1:9">
      <c r="A169" s="601">
        <f>A168+0.1</f>
        <v>1.2</v>
      </c>
      <c r="B169" s="602" t="s">
        <v>481</v>
      </c>
      <c r="C169" s="603">
        <v>2.5</v>
      </c>
      <c r="D169" s="604">
        <v>0.05</v>
      </c>
      <c r="E169" s="605">
        <v>0.3</v>
      </c>
      <c r="F169" s="603"/>
      <c r="G169" s="603"/>
      <c r="H169" s="603"/>
      <c r="I169" s="606">
        <f t="shared" si="14"/>
        <v>2.75</v>
      </c>
    </row>
    <row r="170" spans="1:9">
      <c r="A170" s="601">
        <f>A168+0.1</f>
        <v>1.2</v>
      </c>
      <c r="B170" s="602" t="s">
        <v>482</v>
      </c>
      <c r="C170" s="603">
        <v>2.5</v>
      </c>
      <c r="D170" s="604">
        <v>0.05</v>
      </c>
      <c r="E170" s="605">
        <v>0.3</v>
      </c>
      <c r="F170" s="603"/>
      <c r="G170" s="603"/>
      <c r="H170" s="603"/>
      <c r="I170" s="606">
        <f t="shared" si="14"/>
        <v>2.75</v>
      </c>
    </row>
    <row r="171" spans="1:9">
      <c r="A171" s="601">
        <f>A169+0.1</f>
        <v>1.3</v>
      </c>
      <c r="B171" s="602" t="s">
        <v>483</v>
      </c>
      <c r="C171" s="603">
        <v>2.5</v>
      </c>
      <c r="D171" s="604">
        <v>0.05</v>
      </c>
      <c r="E171" s="605">
        <v>0.3</v>
      </c>
      <c r="F171" s="603"/>
      <c r="G171" s="603"/>
      <c r="H171" s="603"/>
      <c r="I171" s="606">
        <f t="shared" si="14"/>
        <v>2.75</v>
      </c>
    </row>
    <row r="172" spans="1:9" ht="18.75" thickBot="1">
      <c r="A172" s="66"/>
      <c r="B172" s="73"/>
      <c r="C172" s="68"/>
      <c r="D172" s="69"/>
      <c r="E172" s="70"/>
      <c r="F172" s="68"/>
      <c r="G172" s="71"/>
      <c r="H172" s="71"/>
      <c r="I172" s="74"/>
    </row>
    <row r="173" spans="1:9" ht="19.5" thickTop="1" thickBot="1">
      <c r="A173" s="62" t="s">
        <v>2</v>
      </c>
      <c r="B173" s="63" t="s">
        <v>119</v>
      </c>
      <c r="C173" s="63" t="s">
        <v>5</v>
      </c>
      <c r="D173" s="63" t="s">
        <v>121</v>
      </c>
      <c r="E173" s="63" t="s">
        <v>484</v>
      </c>
      <c r="F173" s="63"/>
      <c r="G173" s="63"/>
      <c r="H173" s="63" t="s">
        <v>485</v>
      </c>
      <c r="I173" s="75" t="s">
        <v>486</v>
      </c>
    </row>
    <row r="174" spans="1:9" ht="18.75" thickTop="1">
      <c r="A174" s="66"/>
      <c r="B174" s="67"/>
      <c r="C174" s="68"/>
      <c r="D174" s="69"/>
      <c r="E174" s="70"/>
      <c r="F174" s="68"/>
      <c r="G174" s="71"/>
      <c r="H174" s="70"/>
      <c r="I174" s="76"/>
    </row>
    <row r="175" spans="1:9" ht="36">
      <c r="A175" s="599">
        <v>1</v>
      </c>
      <c r="B175" s="600" t="s">
        <v>487</v>
      </c>
      <c r="C175" s="68"/>
      <c r="D175" s="69"/>
      <c r="E175" s="70"/>
      <c r="F175" s="68"/>
      <c r="G175" s="71"/>
      <c r="H175" s="77"/>
      <c r="I175" s="76"/>
    </row>
    <row r="176" spans="1:9">
      <c r="A176" s="601">
        <f>A175+0.1</f>
        <v>1.1000000000000001</v>
      </c>
      <c r="B176" s="602" t="s">
        <v>480</v>
      </c>
      <c r="C176" s="68">
        <v>2.35</v>
      </c>
      <c r="D176" s="69">
        <v>1</v>
      </c>
      <c r="E176" s="70">
        <v>0.15</v>
      </c>
      <c r="F176" s="68"/>
      <c r="G176" s="71"/>
      <c r="H176" s="77">
        <f>(C176/E176)+D176</f>
        <v>16.670000000000002</v>
      </c>
      <c r="I176" s="78">
        <v>18</v>
      </c>
    </row>
    <row r="177" spans="1:9">
      <c r="A177" s="601">
        <f>A176+0.1</f>
        <v>1.2</v>
      </c>
      <c r="B177" s="602" t="s">
        <v>481</v>
      </c>
      <c r="C177" s="68">
        <v>2.35</v>
      </c>
      <c r="D177" s="69">
        <v>1</v>
      </c>
      <c r="E177" s="70">
        <v>0.15</v>
      </c>
      <c r="F177" s="68"/>
      <c r="G177" s="71"/>
      <c r="H177" s="77">
        <f>(C177/E177)+D177</f>
        <v>16.670000000000002</v>
      </c>
      <c r="I177" s="78">
        <v>18</v>
      </c>
    </row>
    <row r="178" spans="1:9">
      <c r="A178" s="601">
        <f>A176+0.1</f>
        <v>1.2</v>
      </c>
      <c r="B178" s="602" t="s">
        <v>482</v>
      </c>
      <c r="C178" s="68">
        <v>2.35</v>
      </c>
      <c r="D178" s="69">
        <v>1</v>
      </c>
      <c r="E178" s="70">
        <v>0.15</v>
      </c>
      <c r="F178" s="68"/>
      <c r="G178" s="71"/>
      <c r="H178" s="77">
        <f t="shared" ref="H178:H179" si="15">(C178/E178)+D178</f>
        <v>16.670000000000002</v>
      </c>
      <c r="I178" s="78">
        <v>18</v>
      </c>
    </row>
    <row r="179" spans="1:9">
      <c r="A179" s="601">
        <f>A177+0.1</f>
        <v>1.3</v>
      </c>
      <c r="B179" s="602" t="s">
        <v>483</v>
      </c>
      <c r="C179" s="68">
        <v>2.35</v>
      </c>
      <c r="D179" s="69">
        <v>1</v>
      </c>
      <c r="E179" s="70">
        <v>0.15</v>
      </c>
      <c r="F179" s="68"/>
      <c r="G179" s="71"/>
      <c r="H179" s="77">
        <f t="shared" si="15"/>
        <v>16.670000000000002</v>
      </c>
      <c r="I179" s="78">
        <v>18</v>
      </c>
    </row>
    <row r="180" spans="1:9" ht="18.75" thickBot="1">
      <c r="A180" s="66"/>
      <c r="B180" s="67"/>
      <c r="C180" s="68"/>
      <c r="D180" s="69"/>
      <c r="E180" s="70"/>
      <c r="F180" s="68"/>
      <c r="G180" s="71"/>
      <c r="H180" s="79"/>
      <c r="I180" s="76"/>
    </row>
    <row r="181" spans="1:9" ht="19.5" thickTop="1" thickBot="1">
      <c r="A181" s="62" t="s">
        <v>2</v>
      </c>
      <c r="B181" s="63" t="s">
        <v>119</v>
      </c>
      <c r="C181" s="63" t="s">
        <v>488</v>
      </c>
      <c r="D181" s="65" t="s">
        <v>486</v>
      </c>
      <c r="E181" s="65" t="s">
        <v>478</v>
      </c>
      <c r="F181" s="63" t="s">
        <v>489</v>
      </c>
      <c r="G181" s="64" t="s">
        <v>490</v>
      </c>
      <c r="H181" s="64" t="s">
        <v>491</v>
      </c>
      <c r="I181" s="65" t="s">
        <v>492</v>
      </c>
    </row>
    <row r="182" spans="1:9" ht="18.75" thickTop="1">
      <c r="A182" s="66"/>
      <c r="B182" s="67"/>
      <c r="C182" s="68"/>
      <c r="D182" s="69"/>
      <c r="E182" s="70"/>
      <c r="F182" s="68"/>
      <c r="G182" s="71"/>
      <c r="H182" s="71"/>
      <c r="I182" s="72"/>
    </row>
    <row r="183" spans="1:9">
      <c r="A183" s="599">
        <v>1</v>
      </c>
      <c r="B183" s="600" t="s">
        <v>493</v>
      </c>
      <c r="C183" s="68"/>
      <c r="D183" s="69"/>
      <c r="E183" s="70"/>
      <c r="F183" s="68"/>
      <c r="G183" s="71"/>
      <c r="H183" s="71"/>
      <c r="I183" s="72"/>
    </row>
    <row r="184" spans="1:9">
      <c r="A184" s="601">
        <f>A183+0.1</f>
        <v>1.1000000000000001</v>
      </c>
      <c r="B184" s="602" t="s">
        <v>480</v>
      </c>
      <c r="C184" s="603">
        <v>1</v>
      </c>
      <c r="D184" s="604">
        <f>+I176</f>
        <v>18</v>
      </c>
      <c r="E184" s="605">
        <f>I168</f>
        <v>2.75</v>
      </c>
      <c r="F184" s="603">
        <v>2.2000000000000002</v>
      </c>
      <c r="G184" s="603">
        <v>1.1000000000000001</v>
      </c>
      <c r="H184" s="603">
        <v>100</v>
      </c>
      <c r="I184" s="606">
        <f>(C184*D184*E184*F184*G184)/H184</f>
        <v>1.2</v>
      </c>
    </row>
    <row r="185" spans="1:9">
      <c r="A185" s="601">
        <f>A184+0.1</f>
        <v>1.2</v>
      </c>
      <c r="B185" s="602" t="s">
        <v>481</v>
      </c>
      <c r="C185" s="603">
        <v>1</v>
      </c>
      <c r="D185" s="604">
        <f>+I177</f>
        <v>18</v>
      </c>
      <c r="E185" s="605">
        <f>I169</f>
        <v>2.75</v>
      </c>
      <c r="F185" s="603">
        <v>2.2000000000000002</v>
      </c>
      <c r="G185" s="603">
        <v>1.1000000000000001</v>
      </c>
      <c r="H185" s="603">
        <v>100</v>
      </c>
      <c r="I185" s="606">
        <f>(C185*D185*E185*F185*G185)/H185</f>
        <v>1.2</v>
      </c>
    </row>
    <row r="186" spans="1:9">
      <c r="A186" s="601">
        <f>A184+0.1</f>
        <v>1.2</v>
      </c>
      <c r="B186" s="602" t="s">
        <v>482</v>
      </c>
      <c r="C186" s="603">
        <v>1</v>
      </c>
      <c r="D186" s="604">
        <f>+I178</f>
        <v>18</v>
      </c>
      <c r="E186" s="605">
        <f>I170</f>
        <v>2.75</v>
      </c>
      <c r="F186" s="603">
        <v>2.2000000000000002</v>
      </c>
      <c r="G186" s="603">
        <v>1.1000000000000001</v>
      </c>
      <c r="H186" s="603">
        <v>100</v>
      </c>
      <c r="I186" s="606">
        <f t="shared" ref="I186:I187" si="16">(C186*D186*E186*F186*G186)/H186</f>
        <v>1.2</v>
      </c>
    </row>
    <row r="187" spans="1:9">
      <c r="A187" s="601">
        <f>A185+0.1</f>
        <v>1.3</v>
      </c>
      <c r="B187" s="602" t="s">
        <v>483</v>
      </c>
      <c r="C187" s="603">
        <v>1</v>
      </c>
      <c r="D187" s="604">
        <f>+I179</f>
        <v>18</v>
      </c>
      <c r="E187" s="605">
        <f>I171</f>
        <v>2.75</v>
      </c>
      <c r="F187" s="603">
        <v>2.2000000000000002</v>
      </c>
      <c r="G187" s="603">
        <v>1.1000000000000001</v>
      </c>
      <c r="H187" s="603">
        <v>100</v>
      </c>
      <c r="I187" s="606">
        <f t="shared" si="16"/>
        <v>1.2</v>
      </c>
    </row>
    <row r="188" spans="1:9" ht="18.75" thickBot="1">
      <c r="A188" s="601"/>
      <c r="B188" s="602"/>
      <c r="C188" s="607"/>
      <c r="D188" s="608"/>
      <c r="E188" s="609"/>
      <c r="F188" s="603"/>
      <c r="G188" s="610"/>
      <c r="H188" s="610"/>
      <c r="I188" s="606"/>
    </row>
    <row r="189" spans="1:9" ht="19.5" thickTop="1" thickBot="1">
      <c r="A189" s="62" t="s">
        <v>2</v>
      </c>
      <c r="B189" s="63" t="s">
        <v>119</v>
      </c>
      <c r="C189" s="81" t="s">
        <v>494</v>
      </c>
      <c r="D189" s="81" t="s">
        <v>495</v>
      </c>
      <c r="E189" s="81" t="s">
        <v>496</v>
      </c>
      <c r="F189" s="63" t="s">
        <v>113</v>
      </c>
      <c r="G189" s="64"/>
      <c r="H189" s="64"/>
      <c r="I189" s="65" t="s">
        <v>497</v>
      </c>
    </row>
    <row r="190" spans="1:9" ht="18.75" thickTop="1">
      <c r="A190" s="66"/>
      <c r="B190" s="67"/>
      <c r="C190" s="68"/>
      <c r="D190" s="69"/>
      <c r="E190" s="70"/>
      <c r="F190" s="68"/>
      <c r="G190" s="71"/>
      <c r="H190" s="71"/>
      <c r="I190" s="72"/>
    </row>
    <row r="191" spans="1:9">
      <c r="A191" s="599">
        <v>1</v>
      </c>
      <c r="B191" s="600" t="s">
        <v>498</v>
      </c>
      <c r="C191" s="68"/>
      <c r="D191" s="82">
        <f>SUM(I184:I187)</f>
        <v>4.8</v>
      </c>
      <c r="E191" s="70"/>
      <c r="F191" s="83">
        <f>2.35*2.35*0.25</f>
        <v>1.38</v>
      </c>
      <c r="G191" s="71"/>
      <c r="H191" s="71"/>
      <c r="I191" s="74">
        <f>(C191+D191+E191)/F191</f>
        <v>3.48</v>
      </c>
    </row>
    <row r="192" spans="1:9" ht="18.75" thickBot="1">
      <c r="A192" s="601"/>
      <c r="B192" s="602"/>
      <c r="C192" s="603"/>
      <c r="D192" s="604"/>
      <c r="E192" s="605"/>
      <c r="F192" s="603"/>
      <c r="G192" s="603"/>
      <c r="H192" s="603"/>
      <c r="I192" s="606"/>
    </row>
    <row r="193" spans="1:9" ht="19.5" thickTop="1" thickBot="1">
      <c r="A193" s="84"/>
      <c r="B193" s="85" t="s">
        <v>499</v>
      </c>
      <c r="C193" s="86">
        <f>+(C191*10)</f>
        <v>0</v>
      </c>
      <c r="D193" s="87">
        <f>+(D191*10)</f>
        <v>48</v>
      </c>
      <c r="E193" s="88"/>
      <c r="F193" s="86"/>
      <c r="G193" s="89"/>
      <c r="H193" s="89"/>
      <c r="I193" s="90"/>
    </row>
    <row r="194" spans="1:9" ht="19.5" thickTop="1" thickBot="1">
      <c r="A194" s="529" t="s">
        <v>504</v>
      </c>
      <c r="B194" s="530"/>
      <c r="C194" s="530"/>
      <c r="D194" s="530"/>
      <c r="E194" s="530"/>
      <c r="F194" s="530"/>
      <c r="G194" s="530"/>
      <c r="H194" s="530"/>
      <c r="I194" s="531"/>
    </row>
    <row r="195" spans="1:9" ht="19.5" thickTop="1" thickBot="1">
      <c r="A195" s="62"/>
      <c r="B195" s="63" t="s">
        <v>119</v>
      </c>
      <c r="C195" s="63" t="s">
        <v>5</v>
      </c>
      <c r="D195" s="63" t="s">
        <v>475</v>
      </c>
      <c r="E195" s="63" t="s">
        <v>476</v>
      </c>
      <c r="F195" s="63" t="s">
        <v>477</v>
      </c>
      <c r="G195" s="64"/>
      <c r="H195" s="64"/>
      <c r="I195" s="65" t="s">
        <v>478</v>
      </c>
    </row>
    <row r="196" spans="1:9" ht="18.75" thickTop="1">
      <c r="A196" s="66"/>
      <c r="B196" s="67"/>
      <c r="C196" s="68"/>
      <c r="D196" s="69"/>
      <c r="E196" s="70"/>
      <c r="F196" s="68"/>
      <c r="G196" s="71"/>
      <c r="H196" s="71"/>
      <c r="I196" s="72"/>
    </row>
    <row r="197" spans="1:9">
      <c r="A197" s="599">
        <v>1</v>
      </c>
      <c r="B197" s="600" t="s">
        <v>479</v>
      </c>
      <c r="C197" s="68"/>
      <c r="D197" s="69"/>
      <c r="E197" s="70"/>
      <c r="F197" s="68"/>
      <c r="G197" s="71"/>
      <c r="H197" s="71"/>
      <c r="I197" s="72"/>
    </row>
    <row r="198" spans="1:9">
      <c r="A198" s="601">
        <f>A197+0.1</f>
        <v>1.1000000000000001</v>
      </c>
      <c r="B198" s="602" t="s">
        <v>505</v>
      </c>
      <c r="C198" s="603">
        <v>1</v>
      </c>
      <c r="D198" s="604">
        <v>0.05</v>
      </c>
      <c r="E198" s="605">
        <v>0.4</v>
      </c>
      <c r="F198" s="603"/>
      <c r="G198" s="603"/>
      <c r="H198" s="603"/>
      <c r="I198" s="606">
        <f>(C198-D198)+E198+F198</f>
        <v>1.35</v>
      </c>
    </row>
    <row r="199" spans="1:9">
      <c r="A199" s="601">
        <f>A198+0.1</f>
        <v>1.2</v>
      </c>
      <c r="B199" s="602" t="s">
        <v>506</v>
      </c>
      <c r="C199" s="59">
        <v>1</v>
      </c>
      <c r="D199" s="604">
        <v>0.05</v>
      </c>
      <c r="E199" s="605">
        <v>0.4</v>
      </c>
      <c r="F199" s="603"/>
      <c r="G199" s="603"/>
      <c r="H199" s="603"/>
      <c r="I199" s="606">
        <f>(C199-D199)+E199+F199</f>
        <v>1.35</v>
      </c>
    </row>
    <row r="200" spans="1:9" ht="18.75" thickBot="1">
      <c r="A200" s="66"/>
      <c r="B200" s="73"/>
      <c r="C200" s="68"/>
      <c r="D200" s="69"/>
      <c r="E200" s="70"/>
      <c r="F200" s="68"/>
      <c r="G200" s="71"/>
      <c r="H200" s="71"/>
      <c r="I200" s="74"/>
    </row>
    <row r="201" spans="1:9" ht="19.5" thickTop="1" thickBot="1">
      <c r="A201" s="62" t="s">
        <v>2</v>
      </c>
      <c r="B201" s="63" t="s">
        <v>119</v>
      </c>
      <c r="C201" s="63" t="s">
        <v>5</v>
      </c>
      <c r="D201" s="63" t="s">
        <v>121</v>
      </c>
      <c r="E201" s="63" t="s">
        <v>484</v>
      </c>
      <c r="F201" s="63"/>
      <c r="G201" s="63"/>
      <c r="H201" s="63" t="s">
        <v>485</v>
      </c>
      <c r="I201" s="75" t="s">
        <v>486</v>
      </c>
    </row>
    <row r="202" spans="1:9" ht="18.75" thickTop="1">
      <c r="A202" s="66"/>
      <c r="B202" s="67"/>
      <c r="C202" s="68"/>
      <c r="D202" s="69"/>
      <c r="E202" s="70"/>
      <c r="F202" s="68">
        <v>0</v>
      </c>
      <c r="G202" s="71"/>
      <c r="H202" s="70"/>
      <c r="I202" s="76"/>
    </row>
    <row r="203" spans="1:9" ht="36">
      <c r="A203" s="599">
        <v>1</v>
      </c>
      <c r="B203" s="600" t="s">
        <v>487</v>
      </c>
      <c r="C203" s="68"/>
      <c r="D203" s="69"/>
      <c r="E203" s="70"/>
      <c r="F203" s="68"/>
      <c r="G203" s="71"/>
      <c r="H203" s="77"/>
      <c r="I203" s="76"/>
    </row>
    <row r="204" spans="1:9">
      <c r="A204" s="601">
        <f>A203+0.1</f>
        <v>1.1000000000000001</v>
      </c>
      <c r="B204" s="602" t="s">
        <v>505</v>
      </c>
      <c r="C204" s="68">
        <f>+C199</f>
        <v>1</v>
      </c>
      <c r="D204" s="69">
        <v>1</v>
      </c>
      <c r="E204" s="70">
        <v>0.15</v>
      </c>
      <c r="F204" s="68"/>
      <c r="G204" s="71"/>
      <c r="H204" s="77">
        <f>(C204/E204)+D204</f>
        <v>7.67</v>
      </c>
      <c r="I204" s="78">
        <v>9</v>
      </c>
    </row>
    <row r="205" spans="1:9">
      <c r="A205" s="601">
        <f>A204+0.1</f>
        <v>1.2</v>
      </c>
      <c r="B205" s="602" t="s">
        <v>506</v>
      </c>
      <c r="C205" s="68">
        <f>+C198</f>
        <v>1</v>
      </c>
      <c r="D205" s="69">
        <v>1</v>
      </c>
      <c r="E205" s="70">
        <v>0.15</v>
      </c>
      <c r="F205" s="68"/>
      <c r="G205" s="71"/>
      <c r="H205" s="77">
        <f>(C205/E205)+D205</f>
        <v>7.67</v>
      </c>
      <c r="I205" s="78">
        <v>29</v>
      </c>
    </row>
    <row r="206" spans="1:9" ht="18.75" thickBot="1">
      <c r="A206" s="66"/>
      <c r="B206" s="67"/>
      <c r="C206" s="68"/>
      <c r="D206" s="69"/>
      <c r="E206" s="70"/>
      <c r="F206" s="68"/>
      <c r="G206" s="71"/>
      <c r="H206" s="79"/>
      <c r="I206" s="76"/>
    </row>
    <row r="207" spans="1:9" ht="19.5" thickTop="1" thickBot="1">
      <c r="A207" s="62" t="s">
        <v>2</v>
      </c>
      <c r="B207" s="63" t="s">
        <v>119</v>
      </c>
      <c r="C207" s="63" t="s">
        <v>488</v>
      </c>
      <c r="D207" s="65" t="s">
        <v>486</v>
      </c>
      <c r="E207" s="65" t="s">
        <v>478</v>
      </c>
      <c r="F207" s="63" t="s">
        <v>489</v>
      </c>
      <c r="G207" s="64" t="s">
        <v>490</v>
      </c>
      <c r="H207" s="64" t="s">
        <v>491</v>
      </c>
      <c r="I207" s="65" t="s">
        <v>492</v>
      </c>
    </row>
    <row r="208" spans="1:9" ht="18.75" thickTop="1">
      <c r="A208" s="66"/>
      <c r="B208" s="67"/>
      <c r="C208" s="68"/>
      <c r="D208" s="69"/>
      <c r="E208" s="70"/>
      <c r="F208" s="68"/>
      <c r="G208" s="71"/>
      <c r="H208" s="71"/>
      <c r="I208" s="72"/>
    </row>
    <row r="209" spans="1:9">
      <c r="A209" s="599">
        <v>1</v>
      </c>
      <c r="B209" s="600" t="s">
        <v>493</v>
      </c>
      <c r="C209" s="68"/>
      <c r="D209" s="69"/>
      <c r="E209" s="70"/>
      <c r="F209" s="68"/>
      <c r="G209" s="71"/>
      <c r="H209" s="71"/>
      <c r="I209" s="72"/>
    </row>
    <row r="210" spans="1:9">
      <c r="A210" s="601">
        <f>A209+0.1</f>
        <v>1.1000000000000001</v>
      </c>
      <c r="B210" s="602" t="s">
        <v>505</v>
      </c>
      <c r="C210" s="603">
        <v>2</v>
      </c>
      <c r="D210" s="611">
        <f>I204</f>
        <v>9</v>
      </c>
      <c r="E210" s="605">
        <f>I198</f>
        <v>1.35</v>
      </c>
      <c r="F210" s="603">
        <v>2.2000000000000002</v>
      </c>
      <c r="G210" s="603">
        <v>1.1000000000000001</v>
      </c>
      <c r="H210" s="603">
        <v>100</v>
      </c>
      <c r="I210" s="606">
        <f>(C210*D210*E210*F210*G210)/H210</f>
        <v>0.59</v>
      </c>
    </row>
    <row r="211" spans="1:9">
      <c r="A211" s="601">
        <f>A210+0.1</f>
        <v>1.2</v>
      </c>
      <c r="B211" s="602" t="s">
        <v>506</v>
      </c>
      <c r="C211" s="603">
        <v>2</v>
      </c>
      <c r="D211" s="611">
        <f>I205</f>
        <v>29</v>
      </c>
      <c r="E211" s="605">
        <f>I199</f>
        <v>1.35</v>
      </c>
      <c r="F211" s="603">
        <v>2.2000000000000002</v>
      </c>
      <c r="G211" s="603">
        <v>1.1000000000000001</v>
      </c>
      <c r="H211" s="603">
        <v>100</v>
      </c>
      <c r="I211" s="606">
        <f>(C211*D211*E211*F211*G211)/H211</f>
        <v>1.89</v>
      </c>
    </row>
    <row r="212" spans="1:9" ht="18.75" thickBot="1">
      <c r="A212" s="601"/>
      <c r="B212" s="602"/>
      <c r="C212" s="607"/>
      <c r="D212" s="608"/>
      <c r="E212" s="609"/>
      <c r="F212" s="603"/>
      <c r="G212" s="610"/>
      <c r="H212" s="610"/>
      <c r="I212" s="606"/>
    </row>
    <row r="213" spans="1:9" ht="19.5" thickTop="1" thickBot="1">
      <c r="A213" s="62" t="s">
        <v>2</v>
      </c>
      <c r="B213" s="63" t="s">
        <v>119</v>
      </c>
      <c r="C213" s="81" t="s">
        <v>496</v>
      </c>
      <c r="D213" s="81" t="s">
        <v>495</v>
      </c>
      <c r="E213" s="81" t="s">
        <v>495</v>
      </c>
      <c r="F213" s="63" t="s">
        <v>113</v>
      </c>
      <c r="G213" s="64"/>
      <c r="H213" s="64"/>
      <c r="I213" s="65" t="s">
        <v>497</v>
      </c>
    </row>
    <row r="214" spans="1:9" ht="18.75" thickTop="1">
      <c r="A214" s="66"/>
      <c r="B214" s="67"/>
      <c r="C214" s="68"/>
      <c r="D214" s="69"/>
      <c r="E214" s="70"/>
      <c r="F214" s="68"/>
      <c r="G214" s="71"/>
      <c r="H214" s="71"/>
      <c r="I214" s="72"/>
    </row>
    <row r="215" spans="1:9">
      <c r="A215" s="599">
        <v>1</v>
      </c>
      <c r="B215" s="600" t="s">
        <v>498</v>
      </c>
      <c r="C215" s="68"/>
      <c r="D215" s="82">
        <f>+I210</f>
        <v>0.59</v>
      </c>
      <c r="E215" s="70">
        <f>+I211</f>
        <v>1.89</v>
      </c>
      <c r="F215" s="59">
        <f>1*1*0.25</f>
        <v>0.25</v>
      </c>
      <c r="G215" s="71"/>
      <c r="H215" s="71"/>
      <c r="I215" s="74">
        <f>(C215+D215+E215)/F215</f>
        <v>9.92</v>
      </c>
    </row>
    <row r="216" spans="1:9" ht="18.75" thickBot="1">
      <c r="A216" s="601"/>
      <c r="B216" s="602"/>
      <c r="C216" s="603"/>
      <c r="D216" s="604"/>
      <c r="E216" s="605"/>
      <c r="F216" s="603"/>
      <c r="G216" s="603"/>
      <c r="H216" s="603"/>
      <c r="I216" s="606"/>
    </row>
    <row r="217" spans="1:9" ht="19.5" thickTop="1" thickBot="1">
      <c r="A217" s="84"/>
      <c r="B217" s="85" t="s">
        <v>499</v>
      </c>
      <c r="C217" s="86">
        <f>+(C215*10)</f>
        <v>0</v>
      </c>
      <c r="D217" s="87">
        <f>+(D215*10)</f>
        <v>5.9</v>
      </c>
      <c r="E217" s="88"/>
      <c r="F217" s="86"/>
      <c r="G217" s="89"/>
      <c r="H217" s="89"/>
      <c r="I217" s="90"/>
    </row>
    <row r="218" spans="1:9" ht="19.5" thickTop="1" thickBot="1"/>
    <row r="219" spans="1:9" ht="19.5" thickTop="1" thickBot="1">
      <c r="A219" s="529" t="s">
        <v>509</v>
      </c>
      <c r="B219" s="530"/>
      <c r="C219" s="530"/>
      <c r="D219" s="530"/>
      <c r="E219" s="530"/>
      <c r="F219" s="530"/>
      <c r="G219" s="530"/>
      <c r="H219" s="530"/>
      <c r="I219" s="531"/>
    </row>
    <row r="220" spans="1:9" ht="19.5" thickTop="1" thickBot="1">
      <c r="A220" s="62"/>
      <c r="B220" s="63" t="s">
        <v>119</v>
      </c>
      <c r="C220" s="63" t="s">
        <v>5</v>
      </c>
      <c r="D220" s="63" t="s">
        <v>475</v>
      </c>
      <c r="E220" s="63" t="s">
        <v>476</v>
      </c>
      <c r="F220" s="63" t="s">
        <v>477</v>
      </c>
      <c r="G220" s="64"/>
      <c r="H220" s="64"/>
      <c r="I220" s="65" t="s">
        <v>478</v>
      </c>
    </row>
    <row r="221" spans="1:9" ht="18.75" thickTop="1">
      <c r="A221" s="66"/>
      <c r="B221" s="67"/>
      <c r="C221" s="68"/>
      <c r="D221" s="69"/>
      <c r="E221" s="70"/>
      <c r="F221" s="68"/>
      <c r="G221" s="71"/>
      <c r="H221" s="71"/>
      <c r="I221" s="72"/>
    </row>
    <row r="222" spans="1:9">
      <c r="A222" s="599">
        <v>1</v>
      </c>
      <c r="B222" s="600" t="s">
        <v>479</v>
      </c>
      <c r="C222" s="68"/>
      <c r="D222" s="69"/>
      <c r="E222" s="70"/>
      <c r="F222" s="68"/>
      <c r="G222" s="71"/>
      <c r="H222" s="71"/>
      <c r="I222" s="72"/>
    </row>
    <row r="223" spans="1:9">
      <c r="A223" s="601">
        <f>A222+0.1</f>
        <v>1.1000000000000001</v>
      </c>
      <c r="B223" s="602" t="s">
        <v>510</v>
      </c>
      <c r="C223" s="603">
        <v>1</v>
      </c>
      <c r="D223" s="604">
        <v>0.05</v>
      </c>
      <c r="E223" s="605">
        <v>0.2</v>
      </c>
      <c r="F223" s="603"/>
      <c r="G223" s="603"/>
      <c r="H223" s="603"/>
      <c r="I223" s="606">
        <f>(C223-D223)+E223+F223</f>
        <v>1.1499999999999999</v>
      </c>
    </row>
    <row r="224" spans="1:9">
      <c r="A224" s="601">
        <f>A223+0.1</f>
        <v>1.2</v>
      </c>
      <c r="B224" s="602" t="s">
        <v>511</v>
      </c>
      <c r="C224" s="59">
        <f>0.53+0.53+0.23+0.231</f>
        <v>1.52</v>
      </c>
      <c r="D224" s="604">
        <v>0.05</v>
      </c>
      <c r="E224" s="605"/>
      <c r="F224" s="603"/>
      <c r="G224" s="603"/>
      <c r="H224" s="603"/>
      <c r="I224" s="606">
        <f>(C224-D224)+E224+F224</f>
        <v>1.47</v>
      </c>
    </row>
    <row r="225" spans="1:9" ht="18.75" thickBot="1">
      <c r="A225" s="66"/>
      <c r="B225" s="73"/>
      <c r="C225" s="68"/>
      <c r="D225" s="69"/>
      <c r="E225" s="70"/>
      <c r="F225" s="68"/>
      <c r="G225" s="71"/>
      <c r="H225" s="71"/>
      <c r="I225" s="74"/>
    </row>
    <row r="226" spans="1:9" ht="19.5" thickTop="1" thickBot="1">
      <c r="A226" s="62" t="s">
        <v>2</v>
      </c>
      <c r="B226" s="63" t="s">
        <v>119</v>
      </c>
      <c r="C226" s="63" t="s">
        <v>5</v>
      </c>
      <c r="D226" s="63" t="s">
        <v>121</v>
      </c>
      <c r="E226" s="63" t="s">
        <v>484</v>
      </c>
      <c r="F226" s="63"/>
      <c r="G226" s="63"/>
      <c r="H226" s="63" t="s">
        <v>485</v>
      </c>
      <c r="I226" s="75" t="s">
        <v>486</v>
      </c>
    </row>
    <row r="227" spans="1:9" ht="18.75" thickTop="1">
      <c r="A227" s="66"/>
      <c r="B227" s="67"/>
      <c r="C227" s="68"/>
      <c r="D227" s="69"/>
      <c r="E227" s="70"/>
      <c r="F227" s="68">
        <v>0</v>
      </c>
      <c r="G227" s="71"/>
      <c r="H227" s="70"/>
      <c r="I227" s="76"/>
    </row>
    <row r="228" spans="1:9" ht="36">
      <c r="A228" s="599">
        <v>1</v>
      </c>
      <c r="B228" s="600" t="s">
        <v>487</v>
      </c>
      <c r="C228" s="68"/>
      <c r="D228" s="69"/>
      <c r="E228" s="70"/>
      <c r="F228" s="68"/>
      <c r="G228" s="71"/>
      <c r="H228" s="77"/>
      <c r="I228" s="76"/>
    </row>
    <row r="229" spans="1:9">
      <c r="A229" s="601">
        <f>A228+0.1</f>
        <v>1.1000000000000001</v>
      </c>
      <c r="B229" s="602" t="s">
        <v>510</v>
      </c>
      <c r="C229" s="68">
        <f>+C224</f>
        <v>1.52</v>
      </c>
      <c r="D229" s="69">
        <v>1</v>
      </c>
      <c r="E229" s="70">
        <v>0.15</v>
      </c>
      <c r="F229" s="68"/>
      <c r="G229" s="71"/>
      <c r="H229" s="77">
        <f>(C229/E229)+D229</f>
        <v>11.13</v>
      </c>
      <c r="I229" s="78">
        <v>16</v>
      </c>
    </row>
    <row r="230" spans="1:9">
      <c r="A230" s="601">
        <f>A229+0.1</f>
        <v>1.2</v>
      </c>
      <c r="B230" s="602" t="s">
        <v>511</v>
      </c>
      <c r="C230" s="68">
        <f>+C223</f>
        <v>1</v>
      </c>
      <c r="D230" s="69">
        <v>1</v>
      </c>
      <c r="E230" s="70">
        <v>0.15</v>
      </c>
      <c r="F230" s="68"/>
      <c r="G230" s="71"/>
      <c r="H230" s="77">
        <f>(C230/E230)+D230</f>
        <v>7.67</v>
      </c>
      <c r="I230" s="78">
        <v>8</v>
      </c>
    </row>
    <row r="231" spans="1:9" ht="18.75" thickBot="1">
      <c r="A231" s="66"/>
      <c r="B231" s="67"/>
      <c r="C231" s="68"/>
      <c r="D231" s="69"/>
      <c r="E231" s="70"/>
      <c r="F231" s="68"/>
      <c r="G231" s="71"/>
      <c r="H231" s="79"/>
      <c r="I231" s="76"/>
    </row>
    <row r="232" spans="1:9" ht="19.5" thickTop="1" thickBot="1">
      <c r="A232" s="62" t="s">
        <v>2</v>
      </c>
      <c r="B232" s="63" t="s">
        <v>119</v>
      </c>
      <c r="C232" s="63" t="s">
        <v>488</v>
      </c>
      <c r="D232" s="65" t="s">
        <v>486</v>
      </c>
      <c r="E232" s="65" t="s">
        <v>478</v>
      </c>
      <c r="F232" s="63" t="s">
        <v>489</v>
      </c>
      <c r="G232" s="64" t="s">
        <v>490</v>
      </c>
      <c r="H232" s="64" t="s">
        <v>491</v>
      </c>
      <c r="I232" s="65" t="s">
        <v>492</v>
      </c>
    </row>
    <row r="233" spans="1:9" ht="18.75" thickTop="1">
      <c r="A233" s="66"/>
      <c r="B233" s="67"/>
      <c r="C233" s="68"/>
      <c r="D233" s="69"/>
      <c r="E233" s="70"/>
      <c r="F233" s="68"/>
      <c r="G233" s="71"/>
      <c r="H233" s="71"/>
      <c r="I233" s="72"/>
    </row>
    <row r="234" spans="1:9">
      <c r="A234" s="599">
        <v>1</v>
      </c>
      <c r="B234" s="600" t="s">
        <v>493</v>
      </c>
      <c r="C234" s="68"/>
      <c r="D234" s="69"/>
      <c r="E234" s="70"/>
      <c r="F234" s="68"/>
      <c r="G234" s="71"/>
      <c r="H234" s="71"/>
      <c r="I234" s="72"/>
    </row>
    <row r="235" spans="1:9">
      <c r="A235" s="601">
        <f>A234+0.1</f>
        <v>1.1000000000000001</v>
      </c>
      <c r="B235" s="602" t="s">
        <v>510</v>
      </c>
      <c r="C235" s="603">
        <v>1</v>
      </c>
      <c r="D235" s="611">
        <f>I229</f>
        <v>16</v>
      </c>
      <c r="E235" s="605">
        <f>I223</f>
        <v>1.1499999999999999</v>
      </c>
      <c r="F235" s="603">
        <v>2.2000000000000002</v>
      </c>
      <c r="G235" s="603">
        <v>1.1000000000000001</v>
      </c>
      <c r="H235" s="603">
        <v>100</v>
      </c>
      <c r="I235" s="606">
        <f>(C235*D235*E235*F235*G235)/H235</f>
        <v>0.45</v>
      </c>
    </row>
    <row r="236" spans="1:9">
      <c r="A236" s="601">
        <f>A235+0.1</f>
        <v>1.2</v>
      </c>
      <c r="B236" s="602" t="s">
        <v>511</v>
      </c>
      <c r="C236" s="603">
        <v>1</v>
      </c>
      <c r="D236" s="611">
        <f>I230</f>
        <v>8</v>
      </c>
      <c r="E236" s="605">
        <f>I224</f>
        <v>1.47</v>
      </c>
      <c r="F236" s="603">
        <v>1.25</v>
      </c>
      <c r="G236" s="603">
        <v>1.1000000000000001</v>
      </c>
      <c r="H236" s="603">
        <v>100</v>
      </c>
      <c r="I236" s="606">
        <f>(C236*D236*E236*F236*G236)/H236</f>
        <v>0.16</v>
      </c>
    </row>
    <row r="237" spans="1:9" ht="18.75" thickBot="1">
      <c r="A237" s="601"/>
      <c r="B237" s="602"/>
      <c r="C237" s="607"/>
      <c r="D237" s="608"/>
      <c r="E237" s="609"/>
      <c r="F237" s="603"/>
      <c r="G237" s="610"/>
      <c r="H237" s="610"/>
      <c r="I237" s="606"/>
    </row>
    <row r="238" spans="1:9" ht="19.5" thickTop="1" thickBot="1">
      <c r="A238" s="62" t="s">
        <v>2</v>
      </c>
      <c r="B238" s="63" t="s">
        <v>119</v>
      </c>
      <c r="C238" s="81" t="s">
        <v>496</v>
      </c>
      <c r="D238" s="81" t="s">
        <v>495</v>
      </c>
      <c r="E238" s="81" t="s">
        <v>512</v>
      </c>
      <c r="F238" s="63" t="s">
        <v>113</v>
      </c>
      <c r="G238" s="64"/>
      <c r="H238" s="64"/>
      <c r="I238" s="65" t="s">
        <v>497</v>
      </c>
    </row>
    <row r="239" spans="1:9" ht="18.75" thickTop="1">
      <c r="A239" s="66"/>
      <c r="B239" s="67"/>
      <c r="C239" s="68"/>
      <c r="D239" s="69"/>
      <c r="E239" s="70"/>
      <c r="F239" s="68"/>
      <c r="G239" s="71"/>
      <c r="H239" s="71"/>
      <c r="I239" s="72"/>
    </row>
    <row r="240" spans="1:9">
      <c r="A240" s="599">
        <v>1</v>
      </c>
      <c r="B240" s="600" t="s">
        <v>498</v>
      </c>
      <c r="C240" s="68"/>
      <c r="D240" s="82">
        <f>+I235</f>
        <v>0.45</v>
      </c>
      <c r="E240" s="70">
        <f>+I236</f>
        <v>0.16</v>
      </c>
      <c r="F240" s="59">
        <f>1*0.55*0.25</f>
        <v>0.14000000000000001</v>
      </c>
      <c r="G240" s="71"/>
      <c r="H240" s="71"/>
      <c r="I240" s="74">
        <f>(C240+D240+E240)/F240</f>
        <v>4.3600000000000003</v>
      </c>
    </row>
    <row r="241" spans="1:9" ht="18.75" thickBot="1">
      <c r="A241" s="601"/>
      <c r="B241" s="602"/>
      <c r="C241" s="603"/>
      <c r="D241" s="604"/>
      <c r="E241" s="605"/>
      <c r="F241" s="603"/>
      <c r="G241" s="603"/>
      <c r="H241" s="603"/>
      <c r="I241" s="606"/>
    </row>
    <row r="242" spans="1:9" ht="19.5" thickTop="1" thickBot="1">
      <c r="A242" s="84"/>
      <c r="B242" s="85" t="s">
        <v>499</v>
      </c>
      <c r="C242" s="86">
        <f>+(C240*10)</f>
        <v>0</v>
      </c>
      <c r="D242" s="87">
        <f>+(D240*10)</f>
        <v>4.5</v>
      </c>
      <c r="E242" s="88"/>
      <c r="F242" s="86"/>
      <c r="G242" s="89"/>
      <c r="H242" s="89"/>
      <c r="I242" s="90"/>
    </row>
    <row r="243" spans="1:9" ht="19.5" thickTop="1" thickBot="1">
      <c r="A243" s="529" t="s">
        <v>513</v>
      </c>
      <c r="B243" s="530"/>
      <c r="C243" s="530"/>
      <c r="D243" s="530"/>
      <c r="E243" s="530"/>
      <c r="F243" s="530"/>
      <c r="G243" s="530"/>
      <c r="H243" s="530"/>
      <c r="I243" s="531"/>
    </row>
    <row r="244" spans="1:9" ht="19.5" thickTop="1" thickBot="1">
      <c r="A244" s="62"/>
      <c r="B244" s="63" t="s">
        <v>119</v>
      </c>
      <c r="C244" s="63" t="s">
        <v>5</v>
      </c>
      <c r="D244" s="63" t="s">
        <v>475</v>
      </c>
      <c r="E244" s="63" t="s">
        <v>476</v>
      </c>
      <c r="F244" s="63" t="s">
        <v>477</v>
      </c>
      <c r="G244" s="64"/>
      <c r="H244" s="64"/>
      <c r="I244" s="65" t="s">
        <v>478</v>
      </c>
    </row>
    <row r="245" spans="1:9" ht="18.75" thickTop="1">
      <c r="A245" s="66"/>
      <c r="B245" s="67"/>
      <c r="C245" s="68"/>
      <c r="D245" s="69"/>
      <c r="E245" s="70"/>
      <c r="F245" s="68"/>
      <c r="G245" s="71"/>
      <c r="H245" s="71"/>
      <c r="I245" s="72"/>
    </row>
    <row r="246" spans="1:9">
      <c r="A246" s="599">
        <v>1</v>
      </c>
      <c r="B246" s="600" t="s">
        <v>479</v>
      </c>
      <c r="C246" s="68"/>
      <c r="D246" s="69"/>
      <c r="E246" s="70"/>
      <c r="F246" s="68"/>
      <c r="G246" s="71"/>
      <c r="H246" s="71"/>
      <c r="I246" s="72"/>
    </row>
    <row r="247" spans="1:9">
      <c r="A247" s="601">
        <f>A246+0.1</f>
        <v>1.1000000000000001</v>
      </c>
      <c r="B247" s="602" t="s">
        <v>510</v>
      </c>
      <c r="C247" s="603">
        <v>1</v>
      </c>
      <c r="D247" s="604">
        <v>0.05</v>
      </c>
      <c r="E247" s="605">
        <v>0.2</v>
      </c>
      <c r="F247" s="603"/>
      <c r="G247" s="603"/>
      <c r="H247" s="603"/>
      <c r="I247" s="606">
        <f>(C247-D247)+E247+F247</f>
        <v>1.1499999999999999</v>
      </c>
    </row>
    <row r="248" spans="1:9">
      <c r="A248" s="601">
        <f>A247+0.1</f>
        <v>1.2</v>
      </c>
      <c r="B248" s="602" t="s">
        <v>511</v>
      </c>
      <c r="C248" s="59">
        <f>0.53+0.53+0.23+0.231</f>
        <v>1.52</v>
      </c>
      <c r="D248" s="604">
        <v>0.05</v>
      </c>
      <c r="E248" s="605"/>
      <c r="F248" s="603"/>
      <c r="G248" s="603"/>
      <c r="H248" s="603"/>
      <c r="I248" s="606">
        <f>(C248-D248)+E248+F248</f>
        <v>1.47</v>
      </c>
    </row>
    <row r="249" spans="1:9" ht="18.75" thickBot="1">
      <c r="A249" s="66"/>
      <c r="B249" s="73"/>
      <c r="C249" s="68"/>
      <c r="D249" s="69"/>
      <c r="E249" s="70"/>
      <c r="F249" s="68"/>
      <c r="G249" s="71"/>
      <c r="H249" s="71"/>
      <c r="I249" s="74"/>
    </row>
    <row r="250" spans="1:9" ht="19.5" thickTop="1" thickBot="1">
      <c r="A250" s="62" t="s">
        <v>2</v>
      </c>
      <c r="B250" s="63" t="s">
        <v>119</v>
      </c>
      <c r="C250" s="63" t="s">
        <v>5</v>
      </c>
      <c r="D250" s="63" t="s">
        <v>121</v>
      </c>
      <c r="E250" s="63" t="s">
        <v>484</v>
      </c>
      <c r="F250" s="63"/>
      <c r="G250" s="63"/>
      <c r="H250" s="63" t="s">
        <v>485</v>
      </c>
      <c r="I250" s="75" t="s">
        <v>486</v>
      </c>
    </row>
    <row r="251" spans="1:9" ht="18.75" thickTop="1">
      <c r="A251" s="66"/>
      <c r="B251" s="67"/>
      <c r="C251" s="68"/>
      <c r="D251" s="69"/>
      <c r="E251" s="70"/>
      <c r="F251" s="68">
        <v>0</v>
      </c>
      <c r="G251" s="71"/>
      <c r="H251" s="70"/>
      <c r="I251" s="76"/>
    </row>
    <row r="252" spans="1:9" ht="36">
      <c r="A252" s="599">
        <v>1</v>
      </c>
      <c r="B252" s="600" t="s">
        <v>487</v>
      </c>
      <c r="C252" s="68"/>
      <c r="D252" s="69"/>
      <c r="E252" s="70"/>
      <c r="F252" s="68"/>
      <c r="G252" s="71"/>
      <c r="H252" s="77"/>
      <c r="I252" s="76"/>
    </row>
    <row r="253" spans="1:9">
      <c r="A253" s="601">
        <f>A252+0.1</f>
        <v>1.1000000000000001</v>
      </c>
      <c r="B253" s="602" t="s">
        <v>510</v>
      </c>
      <c r="C253" s="68">
        <f>+C248</f>
        <v>1.52</v>
      </c>
      <c r="D253" s="69">
        <v>1</v>
      </c>
      <c r="E253" s="70">
        <v>0.15</v>
      </c>
      <c r="F253" s="68"/>
      <c r="G253" s="71"/>
      <c r="H253" s="77">
        <f>(C253/E253)+D253</f>
        <v>11.13</v>
      </c>
      <c r="I253" s="78">
        <v>16</v>
      </c>
    </row>
    <row r="254" spans="1:9">
      <c r="A254" s="601">
        <f>A253+0.1</f>
        <v>1.2</v>
      </c>
      <c r="B254" s="602" t="s">
        <v>511</v>
      </c>
      <c r="C254" s="68">
        <f>+C247</f>
        <v>1</v>
      </c>
      <c r="D254" s="69">
        <v>1</v>
      </c>
      <c r="E254" s="70">
        <v>0.15</v>
      </c>
      <c r="F254" s="68"/>
      <c r="G254" s="71"/>
      <c r="H254" s="77">
        <f>(C254/E254)+D254</f>
        <v>7.67</v>
      </c>
      <c r="I254" s="78">
        <v>8</v>
      </c>
    </row>
    <row r="255" spans="1:9" ht="18.75" thickBot="1">
      <c r="A255" s="66"/>
      <c r="B255" s="67"/>
      <c r="C255" s="68"/>
      <c r="D255" s="69"/>
      <c r="E255" s="70"/>
      <c r="F255" s="68"/>
      <c r="G255" s="71"/>
      <c r="H255" s="79"/>
      <c r="I255" s="76"/>
    </row>
    <row r="256" spans="1:9" ht="19.5" thickTop="1" thickBot="1">
      <c r="A256" s="62" t="s">
        <v>2</v>
      </c>
      <c r="B256" s="63" t="s">
        <v>119</v>
      </c>
      <c r="C256" s="63" t="s">
        <v>488</v>
      </c>
      <c r="D256" s="65" t="s">
        <v>486</v>
      </c>
      <c r="E256" s="65" t="s">
        <v>478</v>
      </c>
      <c r="F256" s="63" t="s">
        <v>489</v>
      </c>
      <c r="G256" s="64" t="s">
        <v>490</v>
      </c>
      <c r="H256" s="64" t="s">
        <v>491</v>
      </c>
      <c r="I256" s="65" t="s">
        <v>492</v>
      </c>
    </row>
    <row r="257" spans="1:9" ht="18.75" thickTop="1">
      <c r="A257" s="66"/>
      <c r="B257" s="67"/>
      <c r="C257" s="68"/>
      <c r="D257" s="69"/>
      <c r="E257" s="70"/>
      <c r="F257" s="68"/>
      <c r="G257" s="71"/>
      <c r="H257" s="71"/>
      <c r="I257" s="72"/>
    </row>
    <row r="258" spans="1:9">
      <c r="A258" s="599">
        <v>1</v>
      </c>
      <c r="B258" s="600" t="s">
        <v>493</v>
      </c>
      <c r="C258" s="68"/>
      <c r="D258" s="69"/>
      <c r="E258" s="70"/>
      <c r="F258" s="68"/>
      <c r="G258" s="71"/>
      <c r="H258" s="71"/>
      <c r="I258" s="72"/>
    </row>
    <row r="259" spans="1:9">
      <c r="A259" s="601">
        <f>A258+0.1</f>
        <v>1.1000000000000001</v>
      </c>
      <c r="B259" s="602" t="s">
        <v>510</v>
      </c>
      <c r="C259" s="603">
        <v>1</v>
      </c>
      <c r="D259" s="611">
        <f>I253</f>
        <v>16</v>
      </c>
      <c r="E259" s="605">
        <f>I247</f>
        <v>1.1499999999999999</v>
      </c>
      <c r="F259" s="603">
        <v>2.2000000000000002</v>
      </c>
      <c r="G259" s="603">
        <v>1.1000000000000001</v>
      </c>
      <c r="H259" s="603">
        <v>100</v>
      </c>
      <c r="I259" s="606">
        <f>(C259*D259*E259*F259*G259)/H259</f>
        <v>0.45</v>
      </c>
    </row>
    <row r="260" spans="1:9">
      <c r="A260" s="601">
        <f>A259+0.1</f>
        <v>1.2</v>
      </c>
      <c r="B260" s="602" t="s">
        <v>511</v>
      </c>
      <c r="C260" s="603">
        <v>1</v>
      </c>
      <c r="D260" s="611">
        <f>I254</f>
        <v>8</v>
      </c>
      <c r="E260" s="605">
        <f>I248</f>
        <v>1.47</v>
      </c>
      <c r="F260" s="603">
        <v>1.25</v>
      </c>
      <c r="G260" s="603">
        <v>1.1000000000000001</v>
      </c>
      <c r="H260" s="603">
        <v>100</v>
      </c>
      <c r="I260" s="606">
        <f>(C260*D260*E260*F260*G260)/H260</f>
        <v>0.16</v>
      </c>
    </row>
    <row r="261" spans="1:9" ht="18.75" thickBot="1">
      <c r="A261" s="601"/>
      <c r="B261" s="602"/>
      <c r="C261" s="607"/>
      <c r="D261" s="608"/>
      <c r="E261" s="609"/>
      <c r="F261" s="603"/>
      <c r="G261" s="610"/>
      <c r="H261" s="610"/>
      <c r="I261" s="606"/>
    </row>
    <row r="262" spans="1:9" ht="19.5" thickTop="1" thickBot="1">
      <c r="A262" s="62" t="s">
        <v>2</v>
      </c>
      <c r="B262" s="63" t="s">
        <v>119</v>
      </c>
      <c r="C262" s="81" t="s">
        <v>496</v>
      </c>
      <c r="D262" s="81" t="s">
        <v>495</v>
      </c>
      <c r="E262" s="81" t="s">
        <v>512</v>
      </c>
      <c r="F262" s="63" t="s">
        <v>113</v>
      </c>
      <c r="G262" s="64"/>
      <c r="H262" s="64"/>
      <c r="I262" s="65" t="s">
        <v>497</v>
      </c>
    </row>
    <row r="263" spans="1:9" ht="18.75" thickTop="1">
      <c r="A263" s="66"/>
      <c r="B263" s="67"/>
      <c r="C263" s="68"/>
      <c r="D263" s="69"/>
      <c r="E263" s="70"/>
      <c r="F263" s="68"/>
      <c r="G263" s="71"/>
      <c r="H263" s="71"/>
      <c r="I263" s="72"/>
    </row>
    <row r="264" spans="1:9">
      <c r="A264" s="599">
        <v>1</v>
      </c>
      <c r="B264" s="600" t="s">
        <v>498</v>
      </c>
      <c r="C264" s="68"/>
      <c r="D264" s="82">
        <f>+I259</f>
        <v>0.45</v>
      </c>
      <c r="E264" s="70">
        <f>+I260</f>
        <v>0.16</v>
      </c>
      <c r="F264" s="59">
        <f>1*0.4*0.25</f>
        <v>0.1</v>
      </c>
      <c r="G264" s="71"/>
      <c r="H264" s="71"/>
      <c r="I264" s="74">
        <f>(C264+D264+E264)/F264</f>
        <v>6.1</v>
      </c>
    </row>
    <row r="265" spans="1:9" ht="18.75" thickBot="1">
      <c r="A265" s="601"/>
      <c r="B265" s="602"/>
      <c r="C265" s="603"/>
      <c r="D265" s="604"/>
      <c r="E265" s="605"/>
      <c r="F265" s="603"/>
      <c r="G265" s="603"/>
      <c r="H265" s="603"/>
      <c r="I265" s="606"/>
    </row>
    <row r="266" spans="1:9" ht="19.5" thickTop="1" thickBot="1">
      <c r="A266" s="84"/>
      <c r="B266" s="85" t="s">
        <v>499</v>
      </c>
      <c r="C266" s="86">
        <f>+(C264*10)</f>
        <v>0</v>
      </c>
      <c r="D266" s="87">
        <f>+(D264*10)</f>
        <v>4.5</v>
      </c>
      <c r="E266" s="88"/>
      <c r="F266" s="86"/>
      <c r="G266" s="89"/>
      <c r="H266" s="89"/>
      <c r="I266" s="90"/>
    </row>
    <row r="267" spans="1:9" ht="19.5" thickTop="1" thickBot="1"/>
    <row r="268" spans="1:9" ht="19.5" thickTop="1" thickBot="1">
      <c r="A268" s="529" t="s">
        <v>514</v>
      </c>
      <c r="B268" s="530"/>
      <c r="C268" s="530"/>
      <c r="D268" s="530"/>
      <c r="E268" s="530"/>
      <c r="F268" s="530"/>
      <c r="G268" s="530"/>
      <c r="H268" s="530"/>
      <c r="I268" s="531"/>
    </row>
    <row r="269" spans="1:9" ht="19.5" thickTop="1" thickBot="1">
      <c r="A269" s="62"/>
      <c r="B269" s="63" t="s">
        <v>119</v>
      </c>
      <c r="C269" s="63" t="s">
        <v>5</v>
      </c>
      <c r="D269" s="63" t="s">
        <v>475</v>
      </c>
      <c r="E269" s="63" t="s">
        <v>476</v>
      </c>
      <c r="F269" s="63" t="s">
        <v>477</v>
      </c>
      <c r="G269" s="64"/>
      <c r="H269" s="64"/>
      <c r="I269" s="65" t="s">
        <v>478</v>
      </c>
    </row>
    <row r="270" spans="1:9" ht="18.75" thickTop="1">
      <c r="A270" s="66"/>
      <c r="B270" s="67"/>
      <c r="C270" s="68"/>
      <c r="D270" s="69"/>
      <c r="E270" s="70"/>
      <c r="F270" s="68"/>
      <c r="G270" s="71"/>
      <c r="H270" s="71"/>
      <c r="I270" s="72"/>
    </row>
    <row r="271" spans="1:9">
      <c r="A271" s="599">
        <v>1</v>
      </c>
      <c r="B271" s="600" t="s">
        <v>479</v>
      </c>
      <c r="C271" s="68"/>
      <c r="D271" s="69"/>
      <c r="E271" s="70"/>
      <c r="F271" s="68"/>
      <c r="G271" s="71"/>
      <c r="H271" s="71"/>
      <c r="I271" s="72"/>
    </row>
    <row r="272" spans="1:9">
      <c r="A272" s="601">
        <f>A271+0.1</f>
        <v>1.1000000000000001</v>
      </c>
      <c r="B272" s="602" t="s">
        <v>515</v>
      </c>
      <c r="C272" s="603">
        <v>2.5</v>
      </c>
      <c r="D272" s="604">
        <v>0.05</v>
      </c>
      <c r="E272" s="605">
        <v>0.3</v>
      </c>
      <c r="F272" s="603"/>
      <c r="G272" s="603"/>
      <c r="H272" s="603"/>
      <c r="I272" s="606">
        <f>(C272-D272)+E272+F272</f>
        <v>2.75</v>
      </c>
    </row>
    <row r="273" spans="1:9">
      <c r="A273" s="601">
        <f>A272+0.1</f>
        <v>1.2</v>
      </c>
      <c r="B273" s="602" t="s">
        <v>516</v>
      </c>
      <c r="C273" s="59">
        <v>2.5</v>
      </c>
      <c r="D273" s="604">
        <v>0.05</v>
      </c>
      <c r="E273" s="605">
        <v>0.3</v>
      </c>
      <c r="F273" s="603"/>
      <c r="G273" s="603"/>
      <c r="H273" s="603"/>
      <c r="I273" s="606">
        <f>(C273-D273)+E273+F273</f>
        <v>2.75</v>
      </c>
    </row>
    <row r="274" spans="1:9" ht="18.75" thickBot="1">
      <c r="A274" s="66"/>
      <c r="B274" s="73"/>
      <c r="C274" s="68"/>
      <c r="D274" s="69"/>
      <c r="E274" s="70"/>
      <c r="F274" s="68"/>
      <c r="G274" s="71"/>
      <c r="H274" s="71"/>
      <c r="I274" s="74"/>
    </row>
    <row r="275" spans="1:9" ht="19.5" thickTop="1" thickBot="1">
      <c r="A275" s="62" t="s">
        <v>2</v>
      </c>
      <c r="B275" s="63" t="s">
        <v>119</v>
      </c>
      <c r="C275" s="63" t="s">
        <v>5</v>
      </c>
      <c r="D275" s="63" t="s">
        <v>121</v>
      </c>
      <c r="E275" s="63" t="s">
        <v>484</v>
      </c>
      <c r="F275" s="63"/>
      <c r="G275" s="63"/>
      <c r="H275" s="63" t="s">
        <v>485</v>
      </c>
      <c r="I275" s="75" t="s">
        <v>486</v>
      </c>
    </row>
    <row r="276" spans="1:9" ht="18.75" thickTop="1">
      <c r="A276" s="66"/>
      <c r="B276" s="67"/>
      <c r="C276" s="68"/>
      <c r="D276" s="69"/>
      <c r="E276" s="70"/>
      <c r="F276" s="68"/>
      <c r="G276" s="71"/>
      <c r="H276" s="70"/>
      <c r="I276" s="76"/>
    </row>
    <row r="277" spans="1:9" ht="36">
      <c r="A277" s="599">
        <v>1</v>
      </c>
      <c r="B277" s="600" t="s">
        <v>487</v>
      </c>
      <c r="C277" s="68"/>
      <c r="D277" s="69"/>
      <c r="E277" s="70"/>
      <c r="F277" s="68"/>
      <c r="G277" s="71"/>
      <c r="H277" s="77"/>
      <c r="I277" s="76"/>
    </row>
    <row r="278" spans="1:9">
      <c r="A278" s="601">
        <f>A277+0.1</f>
        <v>1.1000000000000001</v>
      </c>
      <c r="B278" s="602" t="s">
        <v>515</v>
      </c>
      <c r="C278" s="68">
        <f>+C273</f>
        <v>2.5</v>
      </c>
      <c r="D278" s="69">
        <v>1</v>
      </c>
      <c r="E278" s="70">
        <v>0.1</v>
      </c>
      <c r="F278" s="68"/>
      <c r="G278" s="71"/>
      <c r="H278" s="77">
        <f>(C278/E278)+D278</f>
        <v>26</v>
      </c>
      <c r="I278" s="78">
        <v>26</v>
      </c>
    </row>
    <row r="279" spans="1:9">
      <c r="A279" s="601">
        <f>A278+0.1</f>
        <v>1.2</v>
      </c>
      <c r="B279" s="602" t="s">
        <v>516</v>
      </c>
      <c r="C279" s="68">
        <f>+C272</f>
        <v>2.5</v>
      </c>
      <c r="D279" s="69">
        <v>1</v>
      </c>
      <c r="E279" s="70">
        <v>0.15</v>
      </c>
      <c r="F279" s="68"/>
      <c r="G279" s="71"/>
      <c r="H279" s="77">
        <f>(C279/E279)+D279</f>
        <v>17.670000000000002</v>
      </c>
      <c r="I279" s="78">
        <v>26</v>
      </c>
    </row>
    <row r="280" spans="1:9" ht="18.75" thickBot="1">
      <c r="A280" s="66"/>
      <c r="B280" s="67"/>
      <c r="C280" s="68"/>
      <c r="D280" s="69"/>
      <c r="E280" s="70"/>
      <c r="F280" s="68"/>
      <c r="G280" s="71"/>
      <c r="H280" s="79"/>
      <c r="I280" s="76"/>
    </row>
    <row r="281" spans="1:9" ht="19.5" thickTop="1" thickBot="1">
      <c r="A281" s="62" t="s">
        <v>2</v>
      </c>
      <c r="B281" s="63" t="s">
        <v>119</v>
      </c>
      <c r="C281" s="63" t="s">
        <v>488</v>
      </c>
      <c r="D281" s="65" t="s">
        <v>486</v>
      </c>
      <c r="E281" s="65" t="s">
        <v>478</v>
      </c>
      <c r="F281" s="63" t="s">
        <v>489</v>
      </c>
      <c r="G281" s="64" t="s">
        <v>490</v>
      </c>
      <c r="H281" s="64" t="s">
        <v>491</v>
      </c>
      <c r="I281" s="65" t="s">
        <v>492</v>
      </c>
    </row>
    <row r="282" spans="1:9" ht="18.75" thickTop="1">
      <c r="A282" s="66"/>
      <c r="B282" s="67"/>
      <c r="C282" s="68"/>
      <c r="D282" s="69"/>
      <c r="E282" s="70"/>
      <c r="F282" s="68"/>
      <c r="G282" s="71"/>
      <c r="H282" s="71"/>
      <c r="I282" s="72"/>
    </row>
    <row r="283" spans="1:9">
      <c r="A283" s="599">
        <v>1</v>
      </c>
      <c r="B283" s="600" t="s">
        <v>493</v>
      </c>
      <c r="C283" s="68"/>
      <c r="D283" s="69"/>
      <c r="E283" s="70"/>
      <c r="F283" s="68"/>
      <c r="G283" s="71"/>
      <c r="H283" s="71"/>
      <c r="I283" s="72"/>
    </row>
    <row r="284" spans="1:9">
      <c r="A284" s="601">
        <f>A283+0.1</f>
        <v>1.1000000000000001</v>
      </c>
      <c r="B284" s="602" t="s">
        <v>515</v>
      </c>
      <c r="C284" s="603">
        <v>2</v>
      </c>
      <c r="D284" s="611">
        <f>I278</f>
        <v>26</v>
      </c>
      <c r="E284" s="605">
        <f>I272</f>
        <v>2.75</v>
      </c>
      <c r="F284" s="603">
        <v>2.2000000000000002</v>
      </c>
      <c r="G284" s="603">
        <v>1.1000000000000001</v>
      </c>
      <c r="H284" s="603">
        <v>100</v>
      </c>
      <c r="I284" s="606">
        <f>(C284*D284*E284*F284*G284)/H284</f>
        <v>3.46</v>
      </c>
    </row>
    <row r="285" spans="1:9">
      <c r="A285" s="601">
        <f>A284+0.1</f>
        <v>1.2</v>
      </c>
      <c r="B285" s="602" t="s">
        <v>516</v>
      </c>
      <c r="C285" s="603">
        <v>2</v>
      </c>
      <c r="D285" s="611">
        <f>I279</f>
        <v>26</v>
      </c>
      <c r="E285" s="605">
        <f>I273</f>
        <v>2.75</v>
      </c>
      <c r="F285" s="603">
        <v>2.2000000000000002</v>
      </c>
      <c r="G285" s="603">
        <v>1.1000000000000001</v>
      </c>
      <c r="H285" s="603">
        <v>100</v>
      </c>
      <c r="I285" s="606">
        <f>(C285*D285*E285*F285*G285)/H285</f>
        <v>3.46</v>
      </c>
    </row>
    <row r="286" spans="1:9" ht="18.75" thickBot="1">
      <c r="A286" s="601"/>
      <c r="B286" s="602"/>
      <c r="C286" s="607"/>
      <c r="D286" s="608"/>
      <c r="E286" s="609"/>
      <c r="F286" s="603"/>
      <c r="G286" s="610"/>
      <c r="H286" s="610"/>
      <c r="I286" s="606"/>
    </row>
    <row r="287" spans="1:9" ht="19.5" thickTop="1" thickBot="1">
      <c r="A287" s="62" t="s">
        <v>2</v>
      </c>
      <c r="B287" s="63" t="s">
        <v>119</v>
      </c>
      <c r="C287" s="81" t="s">
        <v>496</v>
      </c>
      <c r="D287" s="81" t="s">
        <v>495</v>
      </c>
      <c r="E287" s="81" t="s">
        <v>495</v>
      </c>
      <c r="F287" s="63" t="s">
        <v>113</v>
      </c>
      <c r="G287" s="64"/>
      <c r="H287" s="64"/>
      <c r="I287" s="65" t="s">
        <v>497</v>
      </c>
    </row>
    <row r="288" spans="1:9" ht="18.75" thickTop="1">
      <c r="A288" s="66"/>
      <c r="B288" s="67"/>
      <c r="C288" s="68"/>
      <c r="D288" s="69"/>
      <c r="E288" s="70"/>
      <c r="F288" s="68"/>
      <c r="G288" s="71"/>
      <c r="H288" s="71"/>
      <c r="I288" s="72"/>
    </row>
    <row r="289" spans="1:9">
      <c r="A289" s="599">
        <v>1</v>
      </c>
      <c r="B289" s="600" t="s">
        <v>498</v>
      </c>
      <c r="C289" s="68"/>
      <c r="D289" s="82">
        <f>+I284</f>
        <v>3.46</v>
      </c>
      <c r="E289" s="70">
        <f>+I285</f>
        <v>3.46</v>
      </c>
      <c r="F289" s="59">
        <f>2.5*2.5*0.15</f>
        <v>0.94</v>
      </c>
      <c r="G289" s="71"/>
      <c r="H289" s="71"/>
      <c r="I289" s="74">
        <f>(C289+D289+E289)/F289</f>
        <v>7.36</v>
      </c>
    </row>
    <row r="290" spans="1:9" ht="18.75" thickBot="1">
      <c r="A290" s="601"/>
      <c r="B290" s="602"/>
      <c r="C290" s="603"/>
      <c r="D290" s="604"/>
      <c r="E290" s="605"/>
      <c r="F290" s="603"/>
      <c r="G290" s="603"/>
      <c r="H290" s="603"/>
      <c r="I290" s="606"/>
    </row>
    <row r="291" spans="1:9" ht="19.5" thickTop="1" thickBot="1">
      <c r="A291" s="84"/>
      <c r="B291" s="85" t="s">
        <v>499</v>
      </c>
      <c r="C291" s="86">
        <f>+(C289*10)</f>
        <v>0</v>
      </c>
      <c r="D291" s="87">
        <f>+(D289*10)</f>
        <v>34.6</v>
      </c>
      <c r="E291" s="88"/>
      <c r="F291" s="86"/>
      <c r="G291" s="89"/>
      <c r="H291" s="89"/>
      <c r="I291" s="90"/>
    </row>
    <row r="292" spans="1:9" ht="19.5" thickTop="1" thickBot="1">
      <c r="A292" s="529" t="s">
        <v>517</v>
      </c>
      <c r="B292" s="530"/>
      <c r="C292" s="530"/>
      <c r="D292" s="530"/>
      <c r="E292" s="530"/>
      <c r="F292" s="530"/>
      <c r="G292" s="530"/>
      <c r="H292" s="530"/>
      <c r="I292" s="531"/>
    </row>
    <row r="293" spans="1:9" ht="19.5" thickTop="1" thickBot="1">
      <c r="A293" s="62"/>
      <c r="B293" s="63" t="s">
        <v>119</v>
      </c>
      <c r="C293" s="63" t="s">
        <v>5</v>
      </c>
      <c r="D293" s="63" t="s">
        <v>475</v>
      </c>
      <c r="E293" s="63" t="s">
        <v>476</v>
      </c>
      <c r="F293" s="63" t="s">
        <v>477</v>
      </c>
      <c r="G293" s="64"/>
      <c r="H293" s="64"/>
      <c r="I293" s="65" t="s">
        <v>478</v>
      </c>
    </row>
    <row r="294" spans="1:9" ht="18.75" thickTop="1">
      <c r="A294" s="66"/>
      <c r="B294" s="67"/>
      <c r="C294" s="68"/>
      <c r="D294" s="69"/>
      <c r="E294" s="70"/>
      <c r="F294" s="68"/>
      <c r="G294" s="71"/>
      <c r="H294" s="71"/>
      <c r="I294" s="72"/>
    </row>
    <row r="295" spans="1:9">
      <c r="A295" s="599">
        <v>1</v>
      </c>
      <c r="B295" s="600" t="s">
        <v>479</v>
      </c>
      <c r="C295" s="68"/>
      <c r="D295" s="69"/>
      <c r="E295" s="70"/>
      <c r="F295" s="68"/>
      <c r="G295" s="71"/>
      <c r="H295" s="71"/>
      <c r="I295" s="72"/>
    </row>
    <row r="296" spans="1:9">
      <c r="A296" s="601">
        <f>A295+0.1</f>
        <v>1.1000000000000001</v>
      </c>
      <c r="B296" s="602" t="s">
        <v>515</v>
      </c>
      <c r="C296" s="603">
        <v>5.05</v>
      </c>
      <c r="D296" s="604">
        <v>0.05</v>
      </c>
      <c r="E296" s="605">
        <v>0.4</v>
      </c>
      <c r="F296" s="603"/>
      <c r="G296" s="603"/>
      <c r="H296" s="603"/>
      <c r="I296" s="606">
        <f>(C296-D296)+E296+F296</f>
        <v>5.4</v>
      </c>
    </row>
    <row r="297" spans="1:9">
      <c r="A297" s="601">
        <f>A296+0.1</f>
        <v>1.2</v>
      </c>
      <c r="B297" s="602" t="s">
        <v>516</v>
      </c>
      <c r="C297" s="59">
        <v>1.1499999999999999</v>
      </c>
      <c r="D297" s="604">
        <v>0.05</v>
      </c>
      <c r="E297" s="605">
        <v>0.4</v>
      </c>
      <c r="F297" s="603"/>
      <c r="G297" s="603"/>
      <c r="H297" s="603"/>
      <c r="I297" s="606">
        <f>(C297-D297)+E297+F297</f>
        <v>1.5</v>
      </c>
    </row>
    <row r="298" spans="1:9" ht="18.75" thickBot="1">
      <c r="A298" s="66"/>
      <c r="B298" s="73"/>
      <c r="C298" s="68"/>
      <c r="D298" s="69"/>
      <c r="E298" s="70"/>
      <c r="F298" s="68"/>
      <c r="G298" s="71"/>
      <c r="H298" s="71"/>
      <c r="I298" s="74"/>
    </row>
    <row r="299" spans="1:9" ht="19.5" thickTop="1" thickBot="1">
      <c r="A299" s="62" t="s">
        <v>2</v>
      </c>
      <c r="B299" s="63" t="s">
        <v>119</v>
      </c>
      <c r="C299" s="63" t="s">
        <v>5</v>
      </c>
      <c r="D299" s="63" t="s">
        <v>121</v>
      </c>
      <c r="E299" s="63" t="s">
        <v>484</v>
      </c>
      <c r="F299" s="63"/>
      <c r="G299" s="63"/>
      <c r="H299" s="63" t="s">
        <v>485</v>
      </c>
      <c r="I299" s="75" t="s">
        <v>486</v>
      </c>
    </row>
    <row r="300" spans="1:9" ht="18.75" thickTop="1">
      <c r="A300" s="66"/>
      <c r="B300" s="67"/>
      <c r="C300" s="68"/>
      <c r="D300" s="69"/>
      <c r="E300" s="70"/>
      <c r="F300" s="68"/>
      <c r="G300" s="71"/>
      <c r="H300" s="70"/>
      <c r="I300" s="76"/>
    </row>
    <row r="301" spans="1:9" ht="36">
      <c r="A301" s="599">
        <v>1</v>
      </c>
      <c r="B301" s="600" t="s">
        <v>487</v>
      </c>
      <c r="C301" s="68"/>
      <c r="D301" s="69"/>
      <c r="E301" s="70"/>
      <c r="F301" s="68"/>
      <c r="G301" s="71"/>
      <c r="H301" s="77"/>
      <c r="I301" s="76"/>
    </row>
    <row r="302" spans="1:9">
      <c r="A302" s="601">
        <f>A301+0.1</f>
        <v>1.1000000000000001</v>
      </c>
      <c r="B302" s="602" t="s">
        <v>515</v>
      </c>
      <c r="C302" s="68">
        <f>+C297</f>
        <v>1.1499999999999999</v>
      </c>
      <c r="D302" s="69">
        <v>1</v>
      </c>
      <c r="E302" s="70">
        <v>0.2</v>
      </c>
      <c r="F302" s="68"/>
      <c r="G302" s="71"/>
      <c r="H302" s="77">
        <f>(C302/E302)+D302</f>
        <v>6.75</v>
      </c>
      <c r="I302" s="78">
        <v>7</v>
      </c>
    </row>
    <row r="303" spans="1:9">
      <c r="A303" s="601">
        <f>A302+0.1</f>
        <v>1.2</v>
      </c>
      <c r="B303" s="602" t="s">
        <v>516</v>
      </c>
      <c r="C303" s="68">
        <f>+C296</f>
        <v>5.05</v>
      </c>
      <c r="D303" s="69">
        <v>1</v>
      </c>
      <c r="E303" s="70">
        <v>0.2</v>
      </c>
      <c r="F303" s="68"/>
      <c r="G303" s="71"/>
      <c r="H303" s="77">
        <f>(C303/E303)+D303</f>
        <v>26.25</v>
      </c>
      <c r="I303" s="78">
        <v>26</v>
      </c>
    </row>
    <row r="304" spans="1:9" ht="18.75" thickBot="1">
      <c r="A304" s="66"/>
      <c r="B304" s="67"/>
      <c r="C304" s="68"/>
      <c r="D304" s="69"/>
      <c r="E304" s="70"/>
      <c r="F304" s="68"/>
      <c r="G304" s="71"/>
      <c r="H304" s="79"/>
      <c r="I304" s="76"/>
    </row>
    <row r="305" spans="1:9" ht="19.5" thickTop="1" thickBot="1">
      <c r="A305" s="62" t="s">
        <v>2</v>
      </c>
      <c r="B305" s="63" t="s">
        <v>119</v>
      </c>
      <c r="C305" s="63" t="s">
        <v>488</v>
      </c>
      <c r="D305" s="65" t="s">
        <v>486</v>
      </c>
      <c r="E305" s="65" t="s">
        <v>478</v>
      </c>
      <c r="F305" s="63" t="s">
        <v>489</v>
      </c>
      <c r="G305" s="64" t="s">
        <v>490</v>
      </c>
      <c r="H305" s="64" t="s">
        <v>491</v>
      </c>
      <c r="I305" s="65" t="s">
        <v>492</v>
      </c>
    </row>
    <row r="306" spans="1:9" ht="18.75" thickTop="1">
      <c r="A306" s="66"/>
      <c r="B306" s="67"/>
      <c r="C306" s="68"/>
      <c r="D306" s="69"/>
      <c r="E306" s="70"/>
      <c r="F306" s="68"/>
      <c r="G306" s="71"/>
      <c r="H306" s="71"/>
      <c r="I306" s="72"/>
    </row>
    <row r="307" spans="1:9">
      <c r="A307" s="599">
        <v>1</v>
      </c>
      <c r="B307" s="600" t="s">
        <v>493</v>
      </c>
      <c r="C307" s="68"/>
      <c r="D307" s="69"/>
      <c r="E307" s="70"/>
      <c r="F307" s="68"/>
      <c r="G307" s="71"/>
      <c r="H307" s="71"/>
      <c r="I307" s="72"/>
    </row>
    <row r="308" spans="1:9">
      <c r="A308" s="601">
        <f>A307+0.1</f>
        <v>1.1000000000000001</v>
      </c>
      <c r="B308" s="602" t="s">
        <v>515</v>
      </c>
      <c r="C308" s="603">
        <v>1</v>
      </c>
      <c r="D308" s="611">
        <f>I302</f>
        <v>7</v>
      </c>
      <c r="E308" s="605">
        <f>I296</f>
        <v>5.4</v>
      </c>
      <c r="F308" s="603">
        <v>2.2000000000000002</v>
      </c>
      <c r="G308" s="603">
        <v>1.1000000000000001</v>
      </c>
      <c r="H308" s="603">
        <v>100</v>
      </c>
      <c r="I308" s="606">
        <f>(C308*D308*E308*F308*G308)/H308</f>
        <v>0.91</v>
      </c>
    </row>
    <row r="309" spans="1:9">
      <c r="A309" s="601">
        <f>A308+0.1</f>
        <v>1.2</v>
      </c>
      <c r="B309" s="602" t="s">
        <v>516</v>
      </c>
      <c r="C309" s="603">
        <v>1</v>
      </c>
      <c r="D309" s="611">
        <f>I303</f>
        <v>26</v>
      </c>
      <c r="E309" s="605">
        <f>I297</f>
        <v>1.5</v>
      </c>
      <c r="F309" s="603">
        <v>2.2000000000000002</v>
      </c>
      <c r="G309" s="603">
        <v>1.1000000000000001</v>
      </c>
      <c r="H309" s="603">
        <v>100</v>
      </c>
      <c r="I309" s="606">
        <f>(C309*D309*E309*F309*G309)/H309</f>
        <v>0.94</v>
      </c>
    </row>
    <row r="310" spans="1:9" ht="18.75" thickBot="1">
      <c r="A310" s="601"/>
      <c r="B310" s="602"/>
      <c r="C310" s="607"/>
      <c r="D310" s="608"/>
      <c r="E310" s="609"/>
      <c r="F310" s="603"/>
      <c r="G310" s="610"/>
      <c r="H310" s="610"/>
      <c r="I310" s="606"/>
    </row>
    <row r="311" spans="1:9" ht="19.5" thickTop="1" thickBot="1">
      <c r="A311" s="62" t="s">
        <v>2</v>
      </c>
      <c r="B311" s="63" t="s">
        <v>119</v>
      </c>
      <c r="C311" s="81" t="s">
        <v>496</v>
      </c>
      <c r="D311" s="81" t="s">
        <v>495</v>
      </c>
      <c r="E311" s="81" t="s">
        <v>495</v>
      </c>
      <c r="F311" s="63" t="s">
        <v>113</v>
      </c>
      <c r="G311" s="64"/>
      <c r="H311" s="64"/>
      <c r="I311" s="65" t="s">
        <v>497</v>
      </c>
    </row>
    <row r="312" spans="1:9" ht="18.75" thickTop="1">
      <c r="A312" s="66"/>
      <c r="B312" s="67"/>
      <c r="C312" s="68"/>
      <c r="D312" s="69"/>
      <c r="E312" s="70"/>
      <c r="F312" s="68"/>
      <c r="G312" s="71"/>
      <c r="H312" s="71"/>
      <c r="I312" s="72"/>
    </row>
    <row r="313" spans="1:9">
      <c r="A313" s="599">
        <v>1</v>
      </c>
      <c r="B313" s="600" t="s">
        <v>498</v>
      </c>
      <c r="C313" s="68"/>
      <c r="D313" s="82">
        <f>+I308</f>
        <v>0.91</v>
      </c>
      <c r="E313" s="70">
        <f>+I309</f>
        <v>0.94</v>
      </c>
      <c r="F313" s="59">
        <f>5.05*1.15*0.15</f>
        <v>0.87</v>
      </c>
      <c r="G313" s="71"/>
      <c r="H313" s="71"/>
      <c r="I313" s="74">
        <f>(C313+D313+E313)/F313</f>
        <v>2.13</v>
      </c>
    </row>
    <row r="314" spans="1:9" ht="18.75" thickBot="1">
      <c r="A314" s="601"/>
      <c r="B314" s="602"/>
      <c r="C314" s="603"/>
      <c r="D314" s="604"/>
      <c r="E314" s="605"/>
      <c r="F314" s="603"/>
      <c r="G314" s="603"/>
      <c r="H314" s="603"/>
      <c r="I314" s="606"/>
    </row>
    <row r="315" spans="1:9" ht="19.5" thickTop="1" thickBot="1">
      <c r="A315" s="84"/>
      <c r="B315" s="85" t="s">
        <v>499</v>
      </c>
      <c r="C315" s="86">
        <f>+(C313*10)</f>
        <v>0</v>
      </c>
      <c r="D315" s="87">
        <f>+(D313*10)</f>
        <v>9.1</v>
      </c>
      <c r="E315" s="88"/>
      <c r="F315" s="86"/>
      <c r="G315" s="89"/>
      <c r="H315" s="89"/>
      <c r="I315" s="90"/>
    </row>
    <row r="316" spans="1:9" ht="18.75" thickTop="1"/>
  </sheetData>
  <mergeCells count="13">
    <mergeCell ref="A292:I292"/>
    <mergeCell ref="A1:I1"/>
    <mergeCell ref="A110:I110"/>
    <mergeCell ref="A140:I140"/>
    <mergeCell ref="A194:I194"/>
    <mergeCell ref="A268:I268"/>
    <mergeCell ref="A164:I164"/>
    <mergeCell ref="A219:I219"/>
    <mergeCell ref="A243:I243"/>
    <mergeCell ref="A2:I2"/>
    <mergeCell ref="A86:I86"/>
    <mergeCell ref="A32:I32"/>
    <mergeCell ref="A56:I56"/>
  </mergeCells>
  <pageMargins left="0.7" right="0.7" top="0.75" bottom="0.75" header="0.3" footer="0.3"/>
  <pageSetup scale="47" orientation="portrait" r:id="rId1"/>
  <ignoredErrors>
    <ignoredError sqref="C15:C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4c6cea-659a-417e-b103-04db308b2605">
      <Terms xmlns="http://schemas.microsoft.com/office/infopath/2007/PartnerControls"/>
    </lcf76f155ced4ddcb4097134ff3c332f>
    <TaxCatchAll xmlns="0bbc58b1-49b8-4305-bb5c-e7f4d28d0c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28551E9F02344B66DF9097B28FAB5" ma:contentTypeVersion="13" ma:contentTypeDescription="Crear nuevo documento." ma:contentTypeScope="" ma:versionID="84cc9ca1cde77dac97ee8a4ec7033147">
  <xsd:schema xmlns:xsd="http://www.w3.org/2001/XMLSchema" xmlns:xs="http://www.w3.org/2001/XMLSchema" xmlns:p="http://schemas.microsoft.com/office/2006/metadata/properties" xmlns:ns2="9e4c6cea-659a-417e-b103-04db308b2605" xmlns:ns3="0bbc58b1-49b8-4305-bb5c-e7f4d28d0c3c" targetNamespace="http://schemas.microsoft.com/office/2006/metadata/properties" ma:root="true" ma:fieldsID="42fd26dc75767136b039e43827a5d5de" ns2:_="" ns3:_="">
    <xsd:import namespace="9e4c6cea-659a-417e-b103-04db308b2605"/>
    <xsd:import namespace="0bbc58b1-49b8-4305-bb5c-e7f4d28d0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c6cea-659a-417e-b103-04db308b2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16138d3-48b3-4cd3-b825-834a57c038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c58b1-49b8-4305-bb5c-e7f4d28d0c3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65ce59c-f3ea-4978-a8c3-afb54ba5f4fe}" ma:internalName="TaxCatchAll" ma:showField="CatchAllData" ma:web="0bbc58b1-49b8-4305-bb5c-e7f4d28d0c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D06A6-4C58-49C2-BF62-1F4DFF693F61}"/>
</file>

<file path=customXml/itemProps2.xml><?xml version="1.0" encoding="utf-8"?>
<ds:datastoreItem xmlns:ds="http://schemas.openxmlformats.org/officeDocument/2006/customXml" ds:itemID="{2429FEC7-377A-40D5-9FE0-BDACE3EEC60D}"/>
</file>

<file path=customXml/itemProps3.xml><?xml version="1.0" encoding="utf-8"?>
<ds:datastoreItem xmlns:ds="http://schemas.openxmlformats.org/officeDocument/2006/customXml" ds:itemID="{5C89E006-501D-4323-B59D-B24240505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UES_CAASD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Raysa Rosario</dc:creator>
  <cp:keywords/>
  <dc:description/>
  <cp:lastModifiedBy>MEJEL CONSULTORIA LEGAL</cp:lastModifiedBy>
  <cp:revision/>
  <dcterms:created xsi:type="dcterms:W3CDTF">2004-09-23T12:21:02Z</dcterms:created>
  <dcterms:modified xsi:type="dcterms:W3CDTF">2022-11-30T21:21:50Z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0x01010079528551E9F02344B66DF9097B28FAB5</vt:lpwstr>
  </property>
  <property fmtid="{D5CDD505-2E9C-101B-9397-08002B2CF9AE}" pid="3" name="MediaServiceImageTags">
    <vt:lpwstr/>
  </property>
</Properties>
</file>