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sergio.polanco\Documents\CAASD 2024\Fisico-Financiero 2024\4to Trimestre\"/>
    </mc:Choice>
  </mc:AlternateContent>
  <xr:revisionPtr revIDLastSave="0" documentId="13_ncr:1_{3606176D-8629-4E65-80EC-E994422D62B8}" xr6:coauthVersionLast="47" xr6:coauthVersionMax="47" xr10:uidLastSave="{00000000-0000-0000-0000-000000000000}"/>
  <bookViews>
    <workbookView xWindow="-120" yWindow="-120" windowWidth="29040" windowHeight="17520" firstSheet="2" activeTab="6"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 r:id="rId10"/>
    <externalReference r:id="rId11"/>
    <externalReference r:id="rId12"/>
  </externalReferences>
  <definedNames>
    <definedName name="_xlnm.Print_Area" localSheetId="0">Portada!$A$1:$M$45</definedName>
    <definedName name="_xlnm.Print_Area" localSheetId="2">'Programa 11'!$A$1:$J$53</definedName>
    <definedName name="_xlnm.Print_Area" localSheetId="4">'Programa 12'!$A$1:$J$54</definedName>
    <definedName name="_xlnm.Print_Area" localSheetId="6">'Programa 13'!$A$1:$J$50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9" i="3" l="1"/>
  <c r="J30" i="2"/>
  <c r="I30" i="2"/>
  <c r="I29" i="2"/>
  <c r="I29" i="1"/>
  <c r="I31" i="1"/>
  <c r="J30" i="1"/>
  <c r="E30" i="1"/>
  <c r="F29" i="3" l="1"/>
  <c r="C25" i="3" a="1"/>
  <c r="C25" i="3" s="1"/>
  <c r="L35" i="3" l="1" a="1"/>
  <c r="L35" i="3" s="1"/>
  <c r="J29" i="2" l="1"/>
  <c r="K34" i="3" a="1"/>
  <c r="K34" i="3" s="1"/>
  <c r="L36" i="2" l="1"/>
  <c r="K33" i="1" l="1"/>
  <c r="F29" i="1" l="1"/>
  <c r="E29" i="1"/>
  <c r="J29" i="1" l="1"/>
  <c r="L35" i="1"/>
  <c r="O24" i="1"/>
  <c r="L47" i="1"/>
  <c r="K29" i="3"/>
  <c r="O45" i="2" l="1"/>
  <c r="O44" i="2"/>
  <c r="K30" i="3" l="1"/>
  <c r="K31" i="3"/>
  <c r="O33" i="2" l="1"/>
  <c r="N33" i="2"/>
  <c r="L26" i="2"/>
  <c r="N26" i="2"/>
  <c r="C25" i="2"/>
  <c r="N29" i="1" l="1"/>
  <c r="N31" i="1" s="1"/>
  <c r="M40" i="1" s="1"/>
  <c r="N25" i="1"/>
  <c r="C25" i="1"/>
  <c r="M45" i="1"/>
  <c r="L48" i="1"/>
  <c r="M34" i="2" l="1"/>
  <c r="K27" i="1" l="1"/>
  <c r="K36" i="1"/>
  <c r="L39" i="3" l="1"/>
  <c r="L37" i="3" l="1"/>
  <c r="L36" i="3"/>
  <c r="M38" i="3"/>
  <c r="K39" i="3"/>
  <c r="K38" i="3"/>
  <c r="K37" i="3"/>
  <c r="O24" i="2" l="1"/>
  <c r="O25" i="2"/>
  <c r="O26" i="2"/>
  <c r="O23" i="2"/>
  <c r="N28" i="2"/>
  <c r="M26" i="2" l="1"/>
  <c r="L28" i="2"/>
  <c r="I25" i="3"/>
  <c r="J29" i="3" l="1"/>
  <c r="D30" i="1"/>
  <c r="K29" i="1"/>
  <c r="E573" i="2"/>
  <c r="E573" i="3"/>
  <c r="E573" i="1"/>
  <c r="G743" i="2"/>
  <c r="G743" i="3"/>
  <c r="G743" i="1"/>
  <c r="B42" i="3" l="1"/>
  <c r="L31" i="2" l="1"/>
  <c r="B46" i="2" l="1"/>
  <c r="B44" i="1"/>
  <c r="B43" i="3"/>
  <c r="B47" i="2"/>
  <c r="K30" i="1"/>
  <c r="K31" i="1"/>
  <c r="L29" i="3" l="1"/>
  <c r="I25" i="1" l="1"/>
  <c r="B45" i="1"/>
  <c r="B41" i="3" l="1"/>
  <c r="B43" i="1"/>
  <c r="I29" i="3" l="1"/>
  <c r="D3" i="2" l="1"/>
  <c r="J31" i="1"/>
  <c r="I30" i="1"/>
  <c r="B45" i="2" l="1"/>
  <c r="I25" i="2" l="1"/>
  <c r="C16" i="3"/>
  <c r="C15" i="3"/>
  <c r="C14" i="3"/>
  <c r="C16" i="2"/>
  <c r="C15" i="2"/>
  <c r="C14" i="2"/>
  <c r="C16" i="1" l="1"/>
  <c r="C15" i="1"/>
  <c r="C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tc={89B475FF-1A6F-40D2-8EBE-8737E74015F9}</author>
    <author>tc={A6859872-A577-4860-AE6B-A522EFA1FCAD}</author>
    <author>tc={0B4D1BFB-271E-413A-8562-157ACF03D0F7}</author>
    <author>tc={D1086D04-BD90-4593-A0C4-D7390AFE96C8}</author>
    <author>tc={BC356E95-79C0-403A-B277-420EAE78DFDE}</author>
  </authors>
  <commentList>
    <comment ref="F25" authorId="0" shapeId="0" xr:uid="{89B475FF-1A6F-40D2-8EBE-8737E74015F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Porque es diferente al valor del 4to. trimestre
Respuesta:
    Según el informe del sigef este es el monto devengado del año    3,427,762,985.65 </t>
      </text>
    </comment>
    <comment ref="E30" authorId="1" shapeId="0" xr:uid="{A6859872-A577-4860-AE6B-A522EFA1FCAD}">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programación es de un trimestre</t>
      </text>
    </comment>
    <comment ref="G30" authorId="2" shapeId="0" xr:uid="{0B4D1BFB-271E-413A-8562-157ACF03D0F7}">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Datos del semestre debe ser colocado, este obedece al ultimo trimestre</t>
      </text>
    </comment>
    <comment ref="B36" authorId="3" shapeId="0" xr:uid="{D1086D04-BD90-4593-A0C4-D7390AFE96C8}">
      <text>
        <t>[Comentario encadenado]
Su versión de Excel le permite leer este comentario encadenado; sin embargo, las ediciones que se apliquen se quitarán si el archivo se abre en una versión más reciente de Excel. Más información: https://go.microsoft.com/fwlink/?linkid=870924
Comentario:
    La produccion promedio del semestre es que debes colocar aquí y es de 439.61</t>
      </text>
    </comment>
    <comment ref="B37" authorId="4" shapeId="0" xr:uid="{BC356E95-79C0-403A-B277-420EAE78DFDE}">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comentario del informe del cuarto trimestre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tc={2D206971-47AD-4139-BD51-A79C3914CAF5}</author>
    <author>tc={53F95E1E-BE55-48F0-AB14-0C17BAC3FC4A}</author>
    <author>tc={239AB3F8-0516-49C9-829C-B0C2FE260AD2}</author>
    <author>tc={5F25BAC0-93A9-432C-9784-9ED0D1148FCF}</author>
    <author>tc={3F96FF34-6D13-42CC-95A4-0866E1BD8499}</author>
  </authors>
  <commentList>
    <comment ref="G30" authorId="0" shapeId="0" xr:uid="{2D206971-47AD-4139-BD51-A79C3914CAF5}">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el valor es mayor</t>
      </text>
    </comment>
    <comment ref="B35" authorId="1" shapeId="0" xr:uid="{53F95E1E-BE55-48F0-AB14-0C17BAC3FC4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Ver comentario 4to trimestre
</t>
      </text>
    </comment>
    <comment ref="B36" authorId="2" shapeId="0" xr:uid="{239AB3F8-0516-49C9-829C-B0C2FE260AD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Comentario no se corresponde con lo que refleja el indicador </t>
      </text>
    </comment>
    <comment ref="B39" authorId="3" shapeId="0" xr:uid="{5F25BAC0-93A9-432C-9784-9ED0D1148FCF}">
      <text>
        <t>[Comentario encadenado]
Su versión de Excel le permite leer este comentario encadenado; sin embargo, las ediciones que se apliquen se quitarán si el archivo se abre en una versión más reciente de Excel. Más información: https://go.microsoft.com/fwlink/?linkid=870924
Comentario:
    El informe del 4to trimestre habla de 17 plantas, cual es la real</t>
      </text>
    </comment>
    <comment ref="B40" authorId="4" shapeId="0" xr:uid="{3F96FF34-6D13-42CC-95A4-0866E1BD8499}">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corresponde con el indicador</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tc={CCBAB2DE-F53C-4235-9FFA-928F728A4054}</author>
    <author>tc={18D229E1-E2CC-4A3A-9DB5-D3874EEA3B59}</author>
    <author>tc={4DC04BF5-0E5D-4F28-9093-24EFE5393A7A}</author>
    <author>tc={9CEB8026-0E55-4C4E-9181-2B7ED96D4287}</author>
  </authors>
  <commentList>
    <comment ref="K28" authorId="0" shapeId="0" xr:uid="{CCBAB2DE-F53C-4235-9FFA-928F728A4054}">
      <text>
        <t>[Comentario encadenado]
Su versión de Excel le permite leer este comentario encadenado; sin embargo, las ediciones que se apliquen se quitarán si el archivo se abre en una versión más reciente de Excel. Más información: https://go.microsoft.com/fwlink/?linkid=870924
Comentario:
    Cierre 2023</t>
      </text>
    </comment>
    <comment ref="F29" authorId="1" shapeId="0" xr:uid="{18D229E1-E2CC-4A3A-9DB5-D3874EEA3B59}">
      <text>
        <t>[Comentario encadenado]
Su versión de Excel le permite leer este comentario encadenado; sin embargo, las ediciones que se apliquen se quitarán si el archivo se abre en una versión más reciente de Excel. Más información: https://go.microsoft.com/fwlink/?linkid=870924
Comentario:
    La programación para el 4to. Trimestre era igual que la del semestre?</t>
      </text>
    </comment>
    <comment ref="B34" authorId="2" shapeId="0" xr:uid="{4DC04BF5-0E5D-4F28-9093-24EFE5393A7A}">
      <text>
        <t>[Comentario encadenado]
Su versión de Excel le permite leer este comentario encadenado; sin embargo, las ediciones que se apliquen se quitarán si el archivo se abre en una versión más reciente de Excel. Más información: https://go.microsoft.com/fwlink/?linkid=870924
Comentario:
    Al cierre de junio habian 417,332 clientes.  Al comparar con el cierre de diciembre el incremento es de 2,223 nuevos clientes</t>
      </text>
    </comment>
    <comment ref="B35" authorId="3" shapeId="0" xr:uid="{9CEB8026-0E55-4C4E-9181-2B7ED96D4287}">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redacción. Por otro lado, para el tema de la meta física, recomiendo apoyarse en que los datos comerciales están en proceso de revisión por la entrada de un nuevo sistema de gestión comercial.</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<sst xmlns="http://schemas.openxmlformats.org/spreadsheetml/2006/main" count="279" uniqueCount="132">
  <si>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</si>
  <si>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</si>
  <si>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</si>
  <si>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</si>
  <si>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</si>
  <si>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</si>
  <si>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</si>
  <si>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</si>
  <si>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</si>
  <si>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</si>
  <si>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</si>
  <si>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</si>
  <si>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</si>
  <si>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</si>
  <si>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</si>
  <si>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</si>
  <si>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</si>
  <si>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</si>
  <si>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</si>
  <si>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</si>
  <si>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</si>
  <si>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</si>
  <si>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</si>
  <si>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</si>
  <si>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</si>
  <si>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</si>
  <si>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</si>
  <si>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</si>
  <si>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</si>
  <si>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</si>
  <si>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</si>
  <si>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</si>
  <si>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</si>
  <si>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</si>
  <si>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</si>
  <si>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</si>
  <si>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</si>
  <si>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</si>
  <si>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</si>
  <si>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</si>
  <si>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</si>
  <si>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</si>
  <si>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</si>
  <si>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</si>
  <si>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</si>
  <si>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</si>
  <si>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</si>
  <si>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</si>
  <si>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</si>
  <si>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</si>
  <si>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</si>
  <si>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</si>
  <si>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</si>
  <si>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</si>
  <si>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</si>
  <si>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</si>
  <si>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</si>
  <si>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</si>
  <si>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</si>
  <si>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</si>
  <si>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</si>
  <si>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</si>
  <si>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</si>
  <si>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</si>
  <si>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</si>
  <si>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</si>
  <si>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</si>
  <si>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</si>
  <si>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</si>
  <si>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</si>
  <si>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</si>
  <si>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</si>
  <si>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</si>
  <si>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</si>
  <si>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</si>
  <si>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</si>
  <si>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</si>
  <si>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</si>
  <si>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</si>
  <si>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</si>
  <si>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</si>
  <si>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</si>
  <si>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</si>
  <si>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</si>
  <si>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</si>
  <si>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</si>
  <si>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</si>
  <si>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</si>
  <si>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</si>
  <si>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</si>
  <si>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</si>
  <si>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</si>
  <si>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Lic. Katihusca Ledesma</t>
  </si>
  <si>
    <t>Directora de Planificación y Desarrollo</t>
  </si>
  <si>
    <t>Residentes de los sectores bajo jurisdicción de la CAASD.</t>
  </si>
  <si>
    <t>La proyección de la ejecución física de este producto debe contemplar el impacto de la sequia en la producción del agua al momento de la formulación. La programación de los proyectos con financiamiento externo deberá contemplar la gestión de los tiempos administrativos hasta la culminación del proceso desembolso y pagos.</t>
  </si>
  <si>
    <t>El reflejo oportuno de la ejecución del gastos proveniente de los proyectos de inversión con recursos externos.</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</si>
  <si>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</si>
  <si>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Lic. Rosa Peña</t>
  </si>
  <si>
    <t>Elaborado por</t>
  </si>
  <si>
    <t>Revisado por</t>
  </si>
  <si>
    <t>Aprobado por</t>
  </si>
  <si>
    <t>Ing. Sergio Polanco</t>
  </si>
  <si>
    <t>Analista Presupuesto</t>
  </si>
  <si>
    <t>Encargado Depto. FM&amp;E PPP</t>
  </si>
  <si>
    <t>Columna1</t>
  </si>
  <si>
    <t xml:space="preserve"> 417,518.00 </t>
  </si>
  <si>
    <t xml:space="preserve"> 417,518.01</t>
  </si>
  <si>
    <t>vigente</t>
  </si>
  <si>
    <t>+</t>
  </si>
  <si>
    <t xml:space="preserve"> Informe seguimiento del presupuesto físico 2024 correspondiente al Trimestre Abril-junio</t>
  </si>
  <si>
    <t>52/53</t>
  </si>
  <si>
    <t>1er semestre</t>
  </si>
  <si>
    <t>3er trimestre</t>
  </si>
  <si>
    <t>4to trimestre</t>
  </si>
  <si>
    <t>Devengado Ejecutado</t>
  </si>
  <si>
    <t>:</t>
  </si>
  <si>
    <t>según registro del sigef</t>
  </si>
  <si>
    <t>Columna2</t>
  </si>
  <si>
    <t>Ejecución Semestral</t>
  </si>
  <si>
    <t>Programación semestral</t>
  </si>
  <si>
    <t>Informe de Evaluación Semestre Julio-Diciembre 2024 de las Metas Físicas-Financieras</t>
  </si>
  <si>
    <t>la ejecución financiera solo alcanza el 81.22% en el trimestre en virtud de los procesos de contratación del servicio no concluidos y ejecución de proyecto en proceso de pago.</t>
  </si>
  <si>
    <t>Dentro de este producto se ha dispuesto producir en el año un total de 608,014,080.00 metros cúbicos de agua potable en todo el año.
Durante el 2do Semestre, la producción diaria promedio se ha mantenido en 439.61   Millones de galones, lo cual equivale a 306,370,769.09 metros cúbicos de agua producida.</t>
  </si>
  <si>
    <t>La ejecución financiera solo alcanza el 84% en el semestre en virtud de los procesos de contratación del servicio no concluidos y ejecución de proyecto en proceso de pago.</t>
  </si>
  <si>
    <t>En este producto se propuso recolectar 150,148,942.15,  metros cúbicos de agua residual en todo el año
Durante el  2do semestre, se ha logrado recolectar 56,296,434.82 metros cúbicos de agua residual producto de haber alcanzado las 428,975 viviendas facturadas al servicio de alcantarillado sanitario</t>
  </si>
  <si>
    <t>Logros Alcanzados:
En este producto se propuso lograr el tratamiento de 31,097,432.32 metros cúbicos de agua residual durante todo el año.              
Durante el 4to trimestre, se ha logrado tratar un volumen de 16,193,271.44 gracias a la disponibilidad de 17 Plantas de tratamiento de aguas residuales las cuales en conjunto depuran diariamente 88,007 metros cúbicos de agua.</t>
  </si>
  <si>
    <t>En este producto se propuso llegar a tener incorporados 475,000 a los servicios institucionales
Al termino del 2do semestre, se ha logrado llegar a incorporar 419,555 Clientes a los servicios institucionales representando un incremento  de  2,223 clientes durante el semestre</t>
  </si>
  <si>
    <t xml:space="preserve">En este semestre una de las causas del desvío en la meta financiera, son los inconvenientes en los procesos de la adquisición de los insumos. programados. Con relación a la ejecución física, actualmente se está en proceso de revisión por la entrada de un nuevo sistema de gestión comercial,  por esta no se han realizado la incorporación de nuevos usuarios la ritmo esperado. </t>
  </si>
  <si>
    <t>En el producto 7694- ejecución financiera sobrepaso  la meta con relación a la programación,  los recursos  fluyeron como se tenia planificado. En tanto que, la ejecución física obtuvo un desempeño de 90.53% mismo obtenido a partir del incremento de los clientes comerciales con servicios de recolección de aguas residuales.</t>
  </si>
  <si>
    <t>7695- El desvío en la meta  ejecución financiera fue debido a que los pagos de inversión no se realizaron conforma a la programación y los procesos de contratación.</t>
  </si>
  <si>
    <t>total según los informes de ejecución cargado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</si>
</sst>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3" formatCode="_(* #,##0.00_);_(* \(#,##0.00\);_(* &quot;-&quot;??_);_(@_)"/>
    <numFmt numFmtId="164" formatCode="_-* #,##0.00_-;\-* #,##0.00_-;_-* &quot;-&quot;??_-;_-@_-"/>
    <numFmt numFmtId="165" formatCode="dd/mm/yyyy;@"/>
    <numFmt numFmtId="166" formatCode="[$-10409]#,##0.00;\-#,##0.00"/>
    <numFmt numFmtId="167" formatCode="[$-10409]0.00%"/>
    <numFmt numFmtId="168" formatCode="#,##0.00_ ;\-#,##0.00\ "/>
    <numFmt numFmtId="169" formatCode="#,##0.00000_ ;\-#,##0.00000\ "/>
    <numFmt numFmtId="170" formatCode="_(* #,##0.00_);_(* \(#,##0.00\);_(* \-??_);_(@_)"/>
    <numFmt numFmtId="171" formatCode="_-* #,##0.00\ _€_-;\-* #,##0.00\ _€_-;_-* &quot;-&quot;??\ _€_-;_-@_-"/>
    <numFmt numFmtId="172" formatCode="_-* #,##0_-;\-* #,##0_-;_-* &quot;-&quot;??_-;_-@_-"/>
    <numFmt numFmtId="173" formatCode="#,##0.0_ ;\-#,##0.0\ "/>
  </numFmts>
  <fonts count="47"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9"/>
      <color theme="1"/>
      <name val="Segoe UI"/>
      <family val="2"/>
    </font>
    <font>
      <sz val="12"/>
      <color theme="1"/>
      <name val="Calibri"/>
      <family val="2"/>
      <scheme val="minor"/>
    </font>
    <font>
      <sz val="12"/>
      <color theme="0"/>
      <name val="Calibri"/>
      <family val="2"/>
      <scheme val="minor"/>
    </font>
    <font>
      <b/>
      <sz val="10"/>
      <color theme="1"/>
      <name val="Arial"/>
      <family val="2"/>
    </font>
    <font>
      <b/>
      <sz val="12"/>
      <name val="Calibri"/>
      <family val="2"/>
    </font>
    <font>
      <sz val="12"/>
      <color rgb="FF1673BA"/>
      <name val="Arial"/>
      <family val="2"/>
    </font>
    <font>
      <i/>
      <sz val="12"/>
      <name val="Calibri"/>
      <family val="2"/>
      <scheme val="minor"/>
    </font>
    <font>
      <sz val="11"/>
      <color rgb="FFFF0000"/>
      <name val="Calibri"/>
      <family val="2"/>
      <scheme val="minor"/>
    </font>
    <font>
      <sz val="12"/>
      <color rgb="FF000099"/>
      <name val="Arial"/>
      <family val="2"/>
    </font>
    <font>
      <sz val="11"/>
      <color theme="1"/>
      <name val="Arial"/>
      <family val="2"/>
    </font>
    <font>
      <sz val="10"/>
      <color theme="1"/>
      <name val="Arial"/>
      <family val="2"/>
    </font>
    <font>
      <sz val="10"/>
      <color rgb="FF000066"/>
      <name val="Arial"/>
      <family val="2"/>
    </font>
    <font>
      <sz val="11"/>
      <name val="Calibri"/>
      <family val="2"/>
      <scheme val="minor"/>
    </font>
  </fonts>
  <fills count="15">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
      <patternFill patternType="solid">
        <fgColor rgb="FFFFFFFF"/>
        <bgColor indexed="64"/>
      </patternFill>
    </fill>
    <fill>
      <patternFill patternType="solid">
        <fgColor rgb="FFFF0000"/>
        <bgColor indexed="64"/>
      </patternFill>
    </fill>
    <fill>
      <patternFill patternType="solid">
        <fgColor rgb="FFFFC000"/>
        <bgColor indexed="64"/>
      </patternFill>
    </fill>
    <fill>
      <patternFill patternType="solid">
        <fgColor rgb="FFB3B3B3"/>
        <bgColor indexed="64"/>
      </patternFill>
    </fill>
  </fills>
  <borders count="45">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indexed="64"/>
      </top>
      <bottom/>
      <diagonal/>
    </border>
    <border>
      <left style="thin">
        <color theme="0" tint="-0.34998626667073579"/>
      </left>
      <right style="thin">
        <color theme="0" tint="-0.34998626667073579"/>
      </right>
      <top/>
      <bottom style="thin">
        <color rgb="FFA6A6A6"/>
      </bottom>
      <diagonal/>
    </border>
    <border>
      <left style="thin">
        <color theme="0" tint="-0.34998626667073579"/>
      </left>
      <right style="thin">
        <color theme="0" tint="-0.34998626667073579"/>
      </right>
      <top/>
      <bottom/>
      <diagonal/>
    </border>
    <border>
      <left style="medium">
        <color rgb="FFCECECE"/>
      </left>
      <right style="medium">
        <color rgb="FFCECECE"/>
      </right>
      <top style="medium">
        <color rgb="FFCECECE"/>
      </top>
      <bottom style="medium">
        <color rgb="FFCECECE"/>
      </bottom>
      <diagonal/>
    </border>
    <border>
      <left/>
      <right/>
      <top/>
      <bottom style="thin">
        <color rgb="FFA6A6A6"/>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164" fontId="31" fillId="0" borderId="0" applyFont="0" applyFill="0" applyBorder="0" applyAlignment="0" applyProtection="0"/>
    <xf numFmtId="0" fontId="31" fillId="0" borderId="0"/>
    <xf numFmtId="0" fontId="35" fillId="0" borderId="0"/>
    <xf numFmtId="164" fontId="35" fillId="0" borderId="0" applyFont="0" applyFill="0" applyBorder="0" applyAlignment="0" applyProtection="0"/>
    <xf numFmtId="9" fontId="35" fillId="0" borderId="0" applyFont="0" applyFill="0" applyBorder="0" applyAlignment="0" applyProtection="0"/>
    <xf numFmtId="0" fontId="36" fillId="10" borderId="0" applyNumberFormat="0" applyBorder="0" applyAlignment="0" applyProtection="0"/>
    <xf numFmtId="170" fontId="31" fillId="0" borderId="0" applyFill="0" applyBorder="0" applyAlignment="0" applyProtection="0"/>
    <xf numFmtId="0" fontId="31" fillId="0" borderId="0"/>
    <xf numFmtId="171" fontId="1" fillId="0" borderId="0" applyFont="0" applyFill="0" applyBorder="0" applyAlignment="0" applyProtection="0"/>
  </cellStyleXfs>
  <cellXfs count="175">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6"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43" fontId="0" fillId="0" borderId="0" xfId="1" applyFont="1"/>
    <xf numFmtId="43" fontId="32" fillId="0" borderId="0" xfId="1" applyFont="1"/>
    <xf numFmtId="167"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6" fontId="0" fillId="0" borderId="0" xfId="0" applyNumberFormat="1"/>
    <xf numFmtId="43"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6" fontId="17" fillId="0" borderId="34" xfId="0" applyNumberFormat="1" applyFont="1" applyBorder="1" applyAlignment="1" applyProtection="1">
      <alignment horizontal="center" vertical="center" wrapText="1" readingOrder="1"/>
      <protection locked="0"/>
    </xf>
    <xf numFmtId="0" fontId="17" fillId="0" borderId="33" xfId="0" applyFont="1" applyBorder="1" applyAlignment="1" applyProtection="1">
      <alignment vertical="center" wrapText="1"/>
      <protection locked="0"/>
    </xf>
    <xf numFmtId="43"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7" fontId="17" fillId="7" borderId="39" xfId="0" applyNumberFormat="1" applyFont="1" applyFill="1" applyBorder="1" applyAlignment="1" applyProtection="1">
      <alignment horizontal="center" vertical="center" wrapText="1" readingOrder="1"/>
      <protection locked="0"/>
    </xf>
    <xf numFmtId="164" fontId="0" fillId="0" borderId="0" xfId="0" applyNumberFormat="1"/>
    <xf numFmtId="168" fontId="0" fillId="0" borderId="0" xfId="0" applyNumberFormat="1"/>
    <xf numFmtId="0" fontId="2" fillId="0" borderId="22" xfId="0" applyFont="1" applyBorder="1" applyAlignment="1">
      <alignment vertical="top"/>
    </xf>
    <xf numFmtId="166" fontId="19" fillId="0" borderId="22" xfId="0" applyNumberFormat="1" applyFont="1" applyBorder="1" applyAlignment="1" applyProtection="1">
      <alignment horizontal="center" vertical="center" wrapText="1" readingOrder="1"/>
      <protection locked="0"/>
    </xf>
    <xf numFmtId="169" fontId="0" fillId="0" borderId="0" xfId="0" applyNumberFormat="1"/>
    <xf numFmtId="43" fontId="0" fillId="0" borderId="0" xfId="0" applyNumberFormat="1"/>
    <xf numFmtId="0" fontId="34" fillId="0" borderId="0" xfId="0" applyFont="1"/>
    <xf numFmtId="0" fontId="17" fillId="0" borderId="0" xfId="0" applyFont="1" applyAlignment="1" applyProtection="1">
      <alignment horizontal="center" vertical="center" wrapText="1" readingOrder="1"/>
      <protection locked="0"/>
    </xf>
    <xf numFmtId="164" fontId="35" fillId="0" borderId="0" xfId="8" applyNumberFormat="1"/>
    <xf numFmtId="0" fontId="11" fillId="0" borderId="10" xfId="0" applyFont="1" applyBorder="1" applyAlignment="1" applyProtection="1">
      <alignment horizontal="center"/>
      <protection locked="0"/>
    </xf>
    <xf numFmtId="0" fontId="14" fillId="0" borderId="0" xfId="0" applyFont="1" applyAlignment="1" applyProtection="1">
      <alignment horizontal="center"/>
      <protection locked="0"/>
    </xf>
    <xf numFmtId="0" fontId="17" fillId="0" borderId="0" xfId="0" applyFont="1" applyProtection="1">
      <protection locked="0"/>
    </xf>
    <xf numFmtId="0" fontId="11" fillId="0" borderId="0" xfId="0" applyFont="1" applyAlignment="1" applyProtection="1">
      <alignment horizontal="center"/>
      <protection locked="0"/>
    </xf>
    <xf numFmtId="43" fontId="17" fillId="0" borderId="0" xfId="1" applyFont="1" applyFill="1" applyAlignment="1" applyProtection="1">
      <alignment horizontal="center" vertical="center" wrapText="1" readingOrder="1"/>
      <protection locked="0"/>
    </xf>
    <xf numFmtId="4" fontId="37" fillId="0" borderId="0" xfId="0" applyNumberFormat="1" applyFont="1"/>
    <xf numFmtId="43" fontId="17" fillId="0" borderId="28" xfId="1" applyFont="1" applyFill="1" applyBorder="1" applyAlignment="1" applyProtection="1">
      <alignment horizontal="center" vertical="center" wrapText="1"/>
      <protection locked="0"/>
    </xf>
    <xf numFmtId="0" fontId="17" fillId="0" borderId="0" xfId="1" applyNumberFormat="1" applyFont="1" applyFill="1" applyAlignment="1" applyProtection="1">
      <alignment horizontal="center" vertical="center" wrapText="1" readingOrder="1"/>
      <protection locked="0"/>
    </xf>
    <xf numFmtId="43" fontId="16" fillId="8" borderId="31" xfId="1" applyFont="1" applyFill="1" applyBorder="1" applyAlignment="1" applyProtection="1">
      <alignment horizontal="center" vertical="center" wrapText="1" readingOrder="1"/>
    </xf>
    <xf numFmtId="43" fontId="17" fillId="0" borderId="0" xfId="0" applyNumberFormat="1" applyFont="1" applyAlignment="1" applyProtection="1">
      <alignment horizontal="center" vertical="center" wrapText="1" readingOrder="1"/>
      <protection locked="0"/>
    </xf>
    <xf numFmtId="0" fontId="20" fillId="0" borderId="0" xfId="0" applyFont="1" applyProtection="1">
      <protection locked="0"/>
    </xf>
    <xf numFmtId="0" fontId="14" fillId="0" borderId="0" xfId="0" applyFont="1" applyProtection="1">
      <protection locked="0"/>
    </xf>
    <xf numFmtId="0" fontId="38" fillId="0" borderId="0" xfId="0" applyFont="1" applyProtection="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0" fontId="16" fillId="8" borderId="41" xfId="1" applyNumberFormat="1" applyFont="1" applyFill="1" applyBorder="1" applyAlignment="1" applyProtection="1">
      <alignment horizontal="center" vertical="center" wrapText="1" readingOrder="1"/>
    </xf>
    <xf numFmtId="164" fontId="17" fillId="0" borderId="0" xfId="0" applyNumberFormat="1" applyFont="1" applyAlignment="1" applyProtection="1">
      <alignment horizontal="center" vertical="center" wrapText="1" readingOrder="1"/>
      <protection locked="0"/>
    </xf>
    <xf numFmtId="0" fontId="16" fillId="8" borderId="41" xfId="0" applyFont="1" applyFill="1" applyBorder="1" applyAlignment="1">
      <alignment horizontal="center" vertical="center" wrapText="1" readingOrder="1"/>
    </xf>
    <xf numFmtId="4" fontId="39" fillId="11" borderId="0" xfId="0" applyNumberFormat="1" applyFont="1" applyFill="1" applyAlignment="1">
      <alignment horizontal="left" vertical="center" wrapText="1"/>
    </xf>
    <xf numFmtId="172" fontId="0" fillId="12" borderId="0" xfId="0" applyNumberFormat="1" applyFill="1"/>
    <xf numFmtId="43" fontId="17" fillId="0" borderId="28" xfId="1" applyFont="1" applyFill="1" applyBorder="1" applyAlignment="1" applyProtection="1">
      <alignment horizontal="center" vertical="center" wrapText="1" readingOrder="1"/>
      <protection locked="0"/>
    </xf>
    <xf numFmtId="4" fontId="0" fillId="0" borderId="0" xfId="0" applyNumberFormat="1"/>
    <xf numFmtId="173" fontId="0" fillId="0" borderId="0" xfId="0" applyNumberFormat="1"/>
    <xf numFmtId="0" fontId="0" fillId="11" borderId="0" xfId="0" applyFill="1"/>
    <xf numFmtId="4" fontId="39" fillId="0" borderId="0" xfId="0" applyNumberFormat="1" applyFont="1"/>
    <xf numFmtId="0" fontId="42" fillId="11" borderId="0" xfId="0" applyFont="1" applyFill="1" applyAlignment="1">
      <alignment horizontal="left" vertical="center"/>
    </xf>
    <xf numFmtId="0" fontId="43" fillId="11" borderId="0" xfId="0" applyFont="1" applyFill="1" applyAlignment="1">
      <alignment vertical="center" wrapText="1"/>
    </xf>
    <xf numFmtId="43" fontId="17" fillId="0" borderId="25" xfId="1" applyFont="1" applyBorder="1" applyAlignment="1" applyProtection="1">
      <alignment horizontal="center" vertical="center" wrapText="1" readingOrder="1"/>
      <protection locked="0"/>
    </xf>
    <xf numFmtId="43" fontId="17" fillId="0" borderId="39" xfId="1" applyFont="1" applyBorder="1" applyAlignment="1" applyProtection="1">
      <alignment horizontal="center" vertical="center" wrapText="1" readingOrder="1"/>
      <protection locked="0"/>
    </xf>
    <xf numFmtId="43" fontId="17" fillId="0" borderId="24" xfId="1" applyFont="1" applyFill="1" applyBorder="1" applyAlignment="1" applyProtection="1">
      <alignment horizontal="center" vertical="center" wrapText="1" readingOrder="1"/>
      <protection locked="0"/>
    </xf>
    <xf numFmtId="43" fontId="17" fillId="0" borderId="33" xfId="1" applyFont="1" applyFill="1" applyBorder="1" applyAlignment="1" applyProtection="1">
      <alignment horizontal="center" vertical="center" wrapText="1" readingOrder="1"/>
      <protection locked="0"/>
    </xf>
    <xf numFmtId="0" fontId="16" fillId="8" borderId="42" xfId="0" applyFont="1" applyFill="1" applyBorder="1" applyAlignment="1">
      <alignment horizontal="center" vertical="center" wrapText="1" readingOrder="1"/>
    </xf>
    <xf numFmtId="0" fontId="16" fillId="0" borderId="31" xfId="0" applyFont="1" applyBorder="1" applyAlignment="1">
      <alignment horizontal="center" vertical="center" wrapText="1" readingOrder="1"/>
    </xf>
    <xf numFmtId="4" fontId="44" fillId="0" borderId="0" xfId="0" applyNumberFormat="1" applyFont="1" applyAlignment="1">
      <alignment vertical="center"/>
    </xf>
    <xf numFmtId="43" fontId="45" fillId="0" borderId="0" xfId="1" applyFont="1"/>
    <xf numFmtId="43" fontId="45" fillId="14" borderId="43" xfId="1" applyFont="1" applyFill="1" applyBorder="1" applyAlignment="1">
      <alignment horizontal="left" vertical="center" wrapText="1"/>
    </xf>
    <xf numFmtId="4" fontId="41" fillId="13" borderId="22" xfId="0" applyNumberFormat="1" applyFont="1" applyFill="1" applyBorder="1"/>
    <xf numFmtId="0" fontId="0" fillId="0" borderId="22" xfId="0" applyBorder="1"/>
    <xf numFmtId="4" fontId="0" fillId="0" borderId="22" xfId="0" applyNumberFormat="1" applyBorder="1"/>
    <xf numFmtId="43" fontId="0" fillId="0" borderId="22" xfId="1" applyFont="1" applyBorder="1"/>
    <xf numFmtId="43" fontId="0" fillId="0" borderId="22" xfId="0" applyNumberFormat="1" applyBorder="1"/>
    <xf numFmtId="164" fontId="0" fillId="0" borderId="22" xfId="0" applyNumberFormat="1" applyBorder="1"/>
    <xf numFmtId="0" fontId="34" fillId="0" borderId="0" xfId="0" applyFont="1" applyAlignment="1">
      <alignment vertical="center"/>
    </xf>
    <xf numFmtId="164" fontId="17" fillId="0" borderId="44" xfId="0" applyNumberFormat="1" applyFont="1" applyBorder="1" applyAlignment="1" applyProtection="1">
      <alignment horizontal="center" vertical="center" wrapText="1" readingOrder="1"/>
      <protection locked="0"/>
    </xf>
    <xf numFmtId="164" fontId="46" fillId="0" borderId="0" xfId="0" applyNumberFormat="1" applyFont="1" applyAlignment="1">
      <alignment vertical="center"/>
    </xf>
    <xf numFmtId="4" fontId="46" fillId="0" borderId="0" xfId="0" applyNumberFormat="1" applyFont="1" applyAlignment="1">
      <alignment vertical="center"/>
    </xf>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34" fillId="0" borderId="0" xfId="0" applyFont="1" applyAlignment="1">
      <alignment horizont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40" fillId="0" borderId="0" xfId="0" applyFont="1" applyAlignment="1" applyProtection="1">
      <alignment horizontal="left" vertical="center" wrapText="1"/>
      <protection locked="0"/>
    </xf>
    <xf numFmtId="0" fontId="40" fillId="0" borderId="18" xfId="0"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0" xfId="0" applyFont="1" applyAlignment="1" applyProtection="1">
      <alignment horizontal="center"/>
      <protection locked="0"/>
    </xf>
    <xf numFmtId="0" fontId="14" fillId="0" borderId="0" xfId="0" applyFont="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12" fillId="6" borderId="22" xfId="0" applyFont="1" applyFill="1" applyBorder="1" applyAlignment="1">
      <alignment horizontal="center" vertical="center" wrapText="1"/>
    </xf>
    <xf numFmtId="0" fontId="14" fillId="6" borderId="23" xfId="0" applyFont="1" applyFill="1" applyBorder="1" applyAlignment="1">
      <alignment horizontal="center" vertical="center" wrapText="1" readingOrder="1"/>
    </xf>
    <xf numFmtId="0" fontId="11" fillId="0" borderId="10" xfId="0" applyFont="1" applyBorder="1" applyAlignment="1" applyProtection="1">
      <alignment horizontal="center"/>
      <protection locked="0"/>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43" fontId="11" fillId="0" borderId="25" xfId="1" applyFont="1" applyFill="1" applyBorder="1" applyAlignment="1" applyProtection="1">
      <alignment horizontal="center" vertical="center" wrapText="1" readingOrder="1"/>
      <protection locked="0"/>
    </xf>
    <xf numFmtId="43" fontId="11" fillId="0" borderId="38" xfId="1" applyFont="1" applyFill="1" applyBorder="1" applyAlignment="1" applyProtection="1">
      <alignment horizontal="center" vertical="center" wrapText="1" readingOrder="1"/>
      <protection locked="0"/>
    </xf>
    <xf numFmtId="43" fontId="11" fillId="0" borderId="24" xfId="1" applyFont="1" applyFill="1" applyBorder="1" applyAlignment="1" applyProtection="1">
      <alignment horizontal="center" vertical="center" wrapText="1" readingOrder="1"/>
      <protection locked="0"/>
    </xf>
    <xf numFmtId="0" fontId="11" fillId="0" borderId="40" xfId="0" applyFont="1" applyBorder="1" applyAlignment="1" applyProtection="1">
      <alignment horizontal="center"/>
      <protection locked="0"/>
    </xf>
    <xf numFmtId="39" fontId="14" fillId="0" borderId="25" xfId="1" applyNumberFormat="1" applyFont="1" applyFill="1" applyBorder="1" applyAlignment="1" applyProtection="1">
      <alignment horizontal="center" vertical="center" wrapText="1" readingOrder="1"/>
      <protection locked="0"/>
    </xf>
    <xf numFmtId="39" fontId="14" fillId="0" borderId="38" xfId="1" applyNumberFormat="1" applyFont="1" applyFill="1" applyBorder="1" applyAlignment="1" applyProtection="1">
      <alignment horizontal="center" vertical="center" wrapText="1" readingOrder="1"/>
      <protection locked="0"/>
    </xf>
    <xf numFmtId="39" fontId="14" fillId="0" borderId="24" xfId="1" applyNumberFormat="1" applyFont="1" applyFill="1" applyBorder="1" applyAlignment="1" applyProtection="1">
      <alignment horizontal="center" vertical="center" wrapText="1" readingOrder="1"/>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9">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4" formatCode="_-* #,##0.00_-;\-* #,##0.00_-;_-* &quot;-&quot;??_-;_-@_-"/>
      <fill>
        <patternFill patternType="none">
          <fgColor indexed="64"/>
          <bgColor auto="1"/>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right/>
        <top style="thin">
          <color theme="0" tint="-0.34998626667073579"/>
        </top>
        <bottom style="thin">
          <color theme="0" tint="-0.34998626667073579"/>
        </bottom>
      </border>
      <protection locked="0" hidden="0"/>
    </dxf>
    <dxf>
      <font>
        <strike val="0"/>
        <outline val="0"/>
        <shadow val="0"/>
        <u val="none"/>
        <vertAlign val="baseline"/>
        <sz val="10"/>
        <color theme="1"/>
        <name val="Arial"/>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rgb="FFFF0000"/>
        <name val="Calibri"/>
        <family val="2"/>
        <scheme val="none"/>
      </font>
      <numFmt numFmtId="164" formatCode="_-* #,##0.00_-;\-* #,##0.00_-;_-* &quot;-&quot;??_-;_-@_-"/>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35" formatCode="_(* #,##0.00_);_(* \(#,##0.00\);_(* &quot;-&quot;??_);_(@_)"/>
      <fill>
        <patternFill patternType="none">
          <fgColor indexed="64"/>
          <bgColor indexed="65"/>
        </patternFill>
      </fill>
      <alignment horizontal="center" vertical="center" textRotation="0" wrapText="1" indent="0" justifyLastLine="0" shrinkToFit="0" readingOrder="1"/>
      <border diagonalUp="0" diagonalDown="0">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Arial"/>
        <family val="2"/>
        <scheme val="none"/>
      </font>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indexed="64"/>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35" formatCode="_(* #,##0.00_);_(* \(#,##0.00\);_(* &quot;-&quot;??_);_(@_)"/>
      <fill>
        <patternFill patternType="none">
          <fgColor indexed="64"/>
          <bgColor indexed="65"/>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35" formatCode="_(* #,##0.00_);_(* \(#,##0.00\);_(* &quot;-&quot;??_);_(@_)"/>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asdgovdo-my.sharepoint.com/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Rosa.Pena\Desktop\A&#209;O%202024\trimestre%202024\3er%20Trimestre%20Fisico%20Financiero%20a&#241;o%202024.xlsx" TargetMode="External"/><Relationship Id="rId1" Type="http://schemas.openxmlformats.org/officeDocument/2006/relationships/externalLinkPath" Target="/Users/Rosa.Pena/Desktop/A&#209;O%202024/trimestre%202024/3er%20Trimestre%20Fisico%20Financiero%20a&#241;o%20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Rosa.Pena\Desktop\A&#209;O%202024\trimestre%202024\Datos%20para%20el%203er%20trimestre%202024.xlsx" TargetMode="External"/><Relationship Id="rId1" Type="http://schemas.openxmlformats.org/officeDocument/2006/relationships/externalLinkPath" Target="/Users/Rosa.Pena/Desktop/A&#209;O%202024/trimestre%202024/Datos%20para%20el%203er%20trimestre%202024.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Rosa.Pena\AppData\Local\Microsoft\Windows\INetCache\Content.Outlook\NIEYVFBL\Presupuesto%20fisico%202024%20actualizada.xlsx" TargetMode="External"/><Relationship Id="rId1" Type="http://schemas.openxmlformats.org/officeDocument/2006/relationships/externalLinkPath" Target="/Users/Rosa.Pena/AppData/Local/Microsoft/Windows/INetCache/Content.Outlook/NIEYVFBL/Presupuesto%20fisico%202024%20actualiza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rtada"/>
      <sheetName val="Sub-port 1"/>
      <sheetName val="Programa 11"/>
      <sheetName val="Sub-port 2"/>
      <sheetName val="Programa 12"/>
      <sheetName val="Sub-port 3"/>
      <sheetName val="Programa 13"/>
      <sheetName val="Hoja1"/>
      <sheetName val="3er Trimestre Fisico Financiero"/>
    </sheetNames>
    <sheetDataSet>
      <sheetData sheetId="0"/>
      <sheetData sheetId="1"/>
      <sheetData sheetId="2">
        <row r="29">
          <cell r="G29">
            <v>152535659.09090909</v>
          </cell>
        </row>
      </sheetData>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ER TRIMESTRE DEVENGADO"/>
      <sheetName val="3ER TRIMESTRE PAGADO"/>
      <sheetName val="Hoja1"/>
    </sheetNames>
    <sheetDataSet>
      <sheetData sheetId="0">
        <row r="4">
          <cell r="L4">
            <v>2198719.4</v>
          </cell>
        </row>
        <row r="327">
          <cell r="P327">
            <v>608368126.20000005</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gramacion fisica EP Nueva"/>
      <sheetName val="Hoja1"/>
      <sheetName val="Prog. 11 Prod. 04"/>
      <sheetName val="Prog. 12 Prod. 04"/>
      <sheetName val="Prog. 12 Prod. 05"/>
      <sheetName val="Prog. 13 Prod. 02"/>
    </sheetNames>
    <sheetDataSet>
      <sheetData sheetId="0">
        <row r="16">
          <cell r="O16">
            <v>608014080</v>
          </cell>
        </row>
      </sheetData>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Rosa Pena" id="{A995B7DC-7C80-4285-8632-5C43433DD047}" userId="S-1-5-21-2485633020-3248229832-3525044030-1475" providerId="AD"/>
  <person displayName="Katihusca O. Ledesma G." id="{60C97F03-DA7B-47B9-BDC2-76CB9239E9B2}" userId="S::Katihusca.Ledesma@caasd.gob.do::64b01010-6c5b-49fa-ac71-ddffb46506b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L31" totalsRowShown="0" headerRowDxfId="48" dataDxfId="46" headerRowBorderDxfId="47" tableBorderDxfId="45" totalsRowBorderDxfId="44">
  <tableColumns count="12">
    <tableColumn id="1" xr3:uid="{DC1B7B10-25DF-444B-B97E-464EC471DB5B}" name="Producto" dataDxfId="43"/>
    <tableColumn id="2" xr3:uid="{C61E64BC-B5A5-45F4-8F84-130CBA355D9D}" name="Indicador" dataDxfId="42"/>
    <tableColumn id="3" xr3:uid="{3AC7971E-A8AB-4C13-830D-AC13829EAC0E}" name="Física_x000a_(A)" dataDxfId="41" dataCellStyle="Millares">
      <calculatedColumnFormula>+'[4]Programacion fisica EP Nueva'!$O$16</calculatedColumnFormula>
    </tableColumn>
    <tableColumn id="4" xr3:uid="{8DB7EDBB-DB79-4CBD-AD68-D153CE19B0A8}" name="Financiera_x000a_(B)" dataDxfId="40">
      <calculatedColumnFormula>+C25</calculatedColumnFormula>
    </tableColumn>
    <tableColumn id="9" xr3:uid="{AC3E8DE2-D537-4CBB-AD59-753602F58C3E}" name="Física_x000a_(C)" dataDxfId="39">
      <calculatedColumnFormula>+Tabla1[[#This Row],[Física
(A)]]/4</calculatedColumnFormula>
    </tableColumn>
    <tableColumn id="10" xr3:uid="{25C7EA1D-EAE0-4DC9-9FB1-C0E265B640E6}" name="Financiera_x000a_(D)" dataDxfId="38">
      <calculatedColumnFormula>2125330406.12+[2]!Tabla1[[#This Row],[Financiera
(D)]]</calculatedColumnFormula>
    </tableColumn>
    <tableColumn id="5" xr3:uid="{C2FDA61C-9281-4FCB-A3FE-246521A85EA0}" name="Física _x000a_(E)" dataDxfId="37" dataCellStyle="Millares"/>
    <tableColumn id="6" xr3:uid="{B07D8104-8103-4848-A228-6FBAE528EF68}" name="Financiera _x000a_ (F)" dataDxfId="36">
      <calculatedColumnFormula>+N29+N30</calculatedColumnFormula>
    </tableColumn>
    <tableColumn id="7" xr3:uid="{F97ACE16-1124-4543-AD0A-CBAA1878A36A}" name="Física _x000a_(%)_x000a_ G=E/C" dataDxfId="35" dataCellStyle="Porcentaje">
      <calculatedColumnFormula>IF(G29&gt;0,G29/E29,0)</calculatedColumnFormula>
    </tableColumn>
    <tableColumn id="8" xr3:uid="{CAB2F777-24BA-4EFC-82F9-153B93171D9B}" name="Financiero _x000a_(%) _x000a_H=F/D" dataDxfId="34">
      <calculatedColumnFormula>IF(H29&gt;0,H29/F29,0)</calculatedColumnFormula>
    </tableColumn>
    <tableColumn id="11" xr3:uid="{65EE5581-8C41-4557-9B28-8757C92AB462}" name="Columna1" dataDxfId="33">
      <calculatedColumnFormula>+Tabla1[[#This Row],[Física 
(E)]]*4</calculatedColumnFormula>
    </tableColumn>
    <tableColumn id="12" xr3:uid="{6191F46E-878B-459B-9BA1-C02CAE6FEBC8}" name="Columna2" dataDxfId="32"/>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1" dataDxfId="29" headerRowBorderDxfId="30" tableBorderDxfId="28" totalsRowBorderDxfId="27">
  <tableColumns count="10">
    <tableColumn id="1" xr3:uid="{FC6DB111-2F12-440B-93CC-262C064DA1B7}" name="Producto" dataDxfId="26"/>
    <tableColumn id="2" xr3:uid="{6B662EFC-2FBC-48EE-ADAE-F860FD6BC257}" name="Indicador" dataDxfId="25"/>
    <tableColumn id="3" xr3:uid="{BA97FF1B-1060-4614-AFE1-67BFC24D5802}" name="Física_x000a_(A)" dataDxfId="24" dataCellStyle="Millares"/>
    <tableColumn id="4" xr3:uid="{01DD5E01-3432-4797-A877-368DE9E3A228}" name="Financiera_x000a_(B)" dataDxfId="23" dataCellStyle="Millares"/>
    <tableColumn id="9" xr3:uid="{96EF8D5C-A1CC-4D3F-94B9-2D6047E0FD08}" name="Física_x000a_(C)" dataDxfId="22" dataCellStyle="Millares"/>
    <tableColumn id="10" xr3:uid="{889C75D1-1248-4F97-A615-BE519BD5DC80}" name="Financiera_x000a_(D)" dataDxfId="21" dataCellStyle="Millares"/>
    <tableColumn id="5" xr3:uid="{92B90EC3-83BA-45B2-9B80-28BBEB7EC9E0}" name="Física _x000a_(E)" dataDxfId="20" dataCellStyle="Millares"/>
    <tableColumn id="6" xr3:uid="{546E0053-40B8-4E51-860E-CBF2981B7D7A}" name="Financiera _x000a_ (F)" dataDxfId="19"/>
    <tableColumn id="7" xr3:uid="{F0BCFDA7-BE59-4E81-8958-E4237373605D}" name="Física _x000a_(%)_x000a_ G=E/C" dataDxfId="18" dataCellStyle="Porcentaje">
      <calculatedColumnFormula>IF(G29&gt;0,G29/E29,0)</calculatedColumnFormula>
    </tableColumn>
    <tableColumn id="8" xr3:uid="{634103A3-E1ED-43D4-B160-1BE8498411F0}" name="Financiero _x000a_(%) _x000a_H=F/D" dataDxfId="17">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L29" totalsRowShown="0" headerRowDxfId="16" dataDxfId="14" headerRowBorderDxfId="15" tableBorderDxfId="13" totalsRowBorderDxfId="12">
  <tableColumns count="12">
    <tableColumn id="1" xr3:uid="{3DBF79D8-7820-48E8-A640-3FF95DE660CA}" name="Producto" dataDxfId="11"/>
    <tableColumn id="2" xr3:uid="{24656F2E-0208-438A-B655-0AF00AABEB48}" name="Indicador" dataDxfId="10"/>
    <tableColumn id="3" xr3:uid="{C749E1FB-73BE-4219-863C-4440752FABB6}" name="Física_x000a_(A)" dataDxfId="9" dataCellStyle="Millares"/>
    <tableColumn id="4" xr3:uid="{5A006633-A0BC-40E6-A0F1-10449993946D}" name="Financiera_x000a_(B)" dataDxfId="8"/>
    <tableColumn id="9" xr3:uid="{113C7BDC-C86C-4BF2-955E-30FC55791F3E}" name="Física_x000a_(C)" dataDxfId="7" dataCellStyle="Millares"/>
    <tableColumn id="10" xr3:uid="{C6C24817-50B9-4FBC-9CF2-C09963EAFB4E}" name="Financiera_x000a_(D)" dataDxfId="6">
      <calculatedColumnFormula>100087848.46+92587848.62</calculatedColumnFormula>
    </tableColumn>
    <tableColumn id="5" xr3:uid="{786A5200-41D3-481B-9A19-3F77FB2229DF}" name="Física _x000a_(E)" dataDxfId="5"/>
    <tableColumn id="6" xr3:uid="{91D23E72-A360-428B-840C-BE0D90B779E3}" name="Financiera _x000a_ (F)" dataDxfId="4">
      <calculatedColumnFormula>38899376.23+K34</calculatedColumnFormula>
    </tableColumn>
    <tableColumn id="7" xr3:uid="{07A140AF-526B-40E3-9D99-2CE7A4806885}" name="Física _x000a_(%)_x000a_ G=E/C" dataDxfId="3" dataCellStyle="Porcentaje">
      <calculatedColumnFormula>IF(G29&gt;0,G29/E29,0)</calculatedColumnFormula>
    </tableColumn>
    <tableColumn id="8" xr3:uid="{DF800A31-F9E2-4166-B432-22F2A910032E}" name="Financiero _x000a_(%) _x000a_H=F/D" dataDxfId="2">
      <calculatedColumnFormula>IF(H29&gt;0,H29/F29,0)</calculatedColumnFormula>
    </tableColumn>
    <tableColumn id="11" xr3:uid="{D853953D-0DF5-483D-8742-1A58754CB484}" name=" 417,518.00 " dataDxfId="1">
      <calculatedColumnFormula>+Tabla134[[#This Row],[Física 
(E)]]-Tabla134[[#Headers],[ 417,518.00 ]]</calculatedColumnFormula>
    </tableColumn>
    <tableColumn id="12" xr3:uid="{FB985FF8-7CCB-412B-8A22-53514E034BD7}" name=" 417,518.01" dataDxfId="0">
      <calculatedColumnFormula>+Tabla134[[#Headers],[ 417,518.00 ]]-Tabla134[[#This Row],[ 417,518.00 ]]</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5" dT="2025-02-21T18:44:39.68" personId="{60C97F03-DA7B-47B9-BDC2-76CB9239E9B2}" id="{89B475FF-1A6F-40D2-8EBE-8737E74015F9}">
    <text>Porque es diferente al valor del 4to. trimestre</text>
  </threadedComment>
  <threadedComment ref="F25" dT="2025-02-24T14:31:31.90" personId="{A995B7DC-7C80-4285-8632-5C43433DD047}" id="{8C6423FE-EE7E-45B9-A946-4F2C6DAFFEDF}" parentId="{89B475FF-1A6F-40D2-8EBE-8737E74015F9}">
    <text xml:space="preserve">Según el informe del sigef este es el monto devengado del año    3,427,762,985.65 </text>
  </threadedComment>
  <threadedComment ref="E30" dT="2025-02-21T18:38:05.35" personId="{60C97F03-DA7B-47B9-BDC2-76CB9239E9B2}" id="{A6859872-A577-4860-AE6B-A522EFA1FCAD}" done="1">
    <text>Esta programación es de un trimestre</text>
  </threadedComment>
  <threadedComment ref="G30" dT="2025-02-21T18:37:46.70" personId="{60C97F03-DA7B-47B9-BDC2-76CB9239E9B2}" id="{0B4D1BFB-271E-413A-8562-157ACF03D0F7}" done="1">
    <text>Datos del semestre debe ser colocado, este obedece al ultimo trimestre</text>
  </threadedComment>
  <threadedComment ref="B36" dT="2025-02-21T18:43:09.59" personId="{60C97F03-DA7B-47B9-BDC2-76CB9239E9B2}" id="{D1086D04-BD90-4593-A0C4-D7390AFE96C8}" done="1">
    <text>La produccion promedio del semestre es que debes colocar aquí y es de 439.61</text>
  </threadedComment>
  <threadedComment ref="B37" dT="2025-02-21T18:43:52.13" personId="{60C97F03-DA7B-47B9-BDC2-76CB9239E9B2}" id="{BC356E95-79C0-403A-B277-420EAE78DFDE}" done="1">
    <text>Ver comentario del informe del cuarto trimestre</text>
  </threadedComment>
</ThreadedComments>
</file>

<file path=xl/threadedComments/threadedComment2.xml><?xml version="1.0" encoding="utf-8"?>
<ThreadedComments xmlns="http://schemas.microsoft.com/office/spreadsheetml/2018/threadedcomments" xmlns:x="http://schemas.openxmlformats.org/spreadsheetml/2006/main">
  <threadedComment ref="G30" dT="2025-02-21T18:52:54.82" personId="{60C97F03-DA7B-47B9-BDC2-76CB9239E9B2}" id="{2D206971-47AD-4139-BD51-A79C3914CAF5}" done="1">
    <text>Revisar el valor es mayor</text>
  </threadedComment>
  <threadedComment ref="B35" dT="2025-02-21T18:48:22.37" personId="{60C97F03-DA7B-47B9-BDC2-76CB9239E9B2}" id="{53F95E1E-BE55-48F0-AB14-0C17BAC3FC4A}" done="1">
    <text xml:space="preserve">Ver comentario 4to trimestre
</text>
  </threadedComment>
  <threadedComment ref="B36" dT="2025-02-21T18:49:24.29" personId="{60C97F03-DA7B-47B9-BDC2-76CB9239E9B2}" id="{239AB3F8-0516-49C9-829C-B0C2FE260AD2}" done="1">
    <text xml:space="preserve">Comentario no se corresponde con lo que refleja el indicador </text>
  </threadedComment>
  <threadedComment ref="B39" dT="2025-02-21T18:53:59.20" personId="{60C97F03-DA7B-47B9-BDC2-76CB9239E9B2}" id="{5F25BAC0-93A9-432C-9784-9ED0D1148FCF}">
    <text>El informe del 4to trimestre habla de 17 plantas, cual es la real</text>
  </threadedComment>
  <threadedComment ref="B40" dT="2025-02-21T18:54:46.36" personId="{60C97F03-DA7B-47B9-BDC2-76CB9239E9B2}" id="{3F96FF34-6D13-42CC-95A4-0866E1BD8499}" done="1">
    <text>No se corresponde con el indicador</text>
  </threadedComment>
</ThreadedComments>
</file>

<file path=xl/threadedComments/threadedComment3.xml><?xml version="1.0" encoding="utf-8"?>
<ThreadedComments xmlns="http://schemas.microsoft.com/office/spreadsheetml/2018/threadedcomments" xmlns:x="http://schemas.openxmlformats.org/spreadsheetml/2006/main">
  <threadedComment ref="K28" dT="2024-04-09T14:57:31.62" personId="{A995B7DC-7C80-4285-8632-5C43433DD047}" id="{CCBAB2DE-F53C-4235-9FFA-928F728A4054}">
    <text>Cierre 2023</text>
  </threadedComment>
  <threadedComment ref="F29" dT="2025-02-21T18:57:12.73" personId="{60C97F03-DA7B-47B9-BDC2-76CB9239E9B2}" id="{18D229E1-E2CC-4A3A-9DB5-D3874EEA3B59}" done="1">
    <text>La programación para el 4to. Trimestre era igual que la del semestre?</text>
  </threadedComment>
  <threadedComment ref="B34" dT="2025-02-21T19:05:32.97" personId="{60C97F03-DA7B-47B9-BDC2-76CB9239E9B2}" id="{4DC04BF5-0E5D-4F28-9093-24EFE5393A7A}" done="1">
    <text>Al cierre de junio habian 417,332 clientes.  Al comparar con el cierre de diciembre el incremento es de 2,223 nuevos clientes</text>
  </threadedComment>
  <threadedComment ref="B35" dT="2025-02-21T17:48:47.80" personId="{60C97F03-DA7B-47B9-BDC2-76CB9239E9B2}" id="{9CEB8026-0E55-4C4E-9181-2B7ED96D4287}" done="1">
    <text>Revisar  redacción. Por otro lado, para el tema de la meta física, recomiendo apoyarse en que los datos comerciales están en proceso de revisión por la entrada de un nuevo sistema de gestión comercial.</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topLeftCell="A19" zoomScaleNormal="100" zoomScaleSheetLayoutView="100" workbookViewId="0">
      <selection activeCell="O18" sqref="O18"/>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102"/>
      <c r="B2" s="102"/>
      <c r="C2" s="102"/>
      <c r="D2" s="102"/>
      <c r="E2" s="102"/>
      <c r="F2" s="102"/>
      <c r="G2" s="102"/>
      <c r="H2" s="102"/>
      <c r="I2" s="102"/>
      <c r="J2" s="102"/>
      <c r="K2" s="102"/>
      <c r="L2" s="102"/>
      <c r="M2" s="102"/>
    </row>
    <row r="10" spans="1:15" ht="33.75" x14ac:dyDescent="0.5">
      <c r="A10" s="103" t="s">
        <v>69</v>
      </c>
      <c r="B10" s="103"/>
      <c r="C10" s="103"/>
      <c r="D10" s="103"/>
      <c r="E10" s="103"/>
      <c r="F10" s="103"/>
      <c r="G10" s="103"/>
      <c r="H10" s="103"/>
      <c r="I10" s="103"/>
      <c r="J10" s="103"/>
      <c r="K10" s="103"/>
      <c r="L10" s="103"/>
      <c r="M10" s="103"/>
    </row>
    <row r="11" spans="1:15" ht="63.75" customHeight="1" x14ac:dyDescent="0.45">
      <c r="A11" s="104" t="s">
        <v>110</v>
      </c>
      <c r="B11" s="104"/>
      <c r="C11" s="104"/>
      <c r="D11" s="104"/>
      <c r="E11" s="104"/>
      <c r="F11" s="104"/>
      <c r="G11" s="104"/>
      <c r="H11" s="104"/>
      <c r="I11" s="104"/>
      <c r="J11" s="104"/>
      <c r="K11" s="104"/>
      <c r="L11" s="104"/>
      <c r="M11" s="104"/>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105" t="s">
        <v>70</v>
      </c>
      <c r="B18" s="105"/>
      <c r="C18" s="105"/>
      <c r="D18" s="105"/>
      <c r="E18" s="105"/>
      <c r="F18" s="105"/>
      <c r="G18" s="105"/>
      <c r="H18" s="105"/>
      <c r="I18" s="105"/>
      <c r="J18" s="105"/>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sheetPr>
  <dimension ref="A1:S743"/>
  <sheetViews>
    <sheetView view="pageBreakPreview" topLeftCell="A18" zoomScaleNormal="100" zoomScaleSheetLayoutView="100" workbookViewId="0">
      <selection activeCell="F25" sqref="F25:H25"/>
    </sheetView>
  </sheetViews>
  <sheetFormatPr baseColWidth="10" defaultRowHeight="15" x14ac:dyDescent="0.25"/>
  <cols>
    <col min="1" max="1" width="28.7109375" style="5" customWidth="1"/>
    <col min="2" max="2" width="21.42578125" style="5" customWidth="1"/>
    <col min="3" max="6" width="12.7109375" style="5" customWidth="1"/>
    <col min="7" max="7" width="12.42578125" style="5" customWidth="1"/>
    <col min="8" max="8" width="16.7109375" style="5" customWidth="1"/>
    <col min="9" max="9" width="12.7109375" style="5" customWidth="1"/>
    <col min="10" max="10" width="20.140625" style="5" customWidth="1"/>
    <col min="11" max="11" width="19.140625" bestFit="1" customWidth="1"/>
    <col min="12" max="12" width="21.140625" customWidth="1"/>
    <col min="13" max="14" width="16.85546875" bestFit="1" customWidth="1"/>
    <col min="15" max="16" width="15.140625" bestFit="1" customWidth="1"/>
    <col min="17" max="17" width="18.85546875" bestFit="1" customWidth="1"/>
  </cols>
  <sheetData>
    <row r="1" spans="1:10" ht="21.75" customHeight="1" thickBot="1" x14ac:dyDescent="0.3">
      <c r="A1" s="17"/>
      <c r="B1" s="147" t="s">
        <v>121</v>
      </c>
      <c r="C1" s="148"/>
      <c r="D1" s="148"/>
      <c r="E1" s="148"/>
      <c r="F1" s="148"/>
      <c r="G1" s="148"/>
      <c r="H1" s="148"/>
      <c r="I1" s="148"/>
      <c r="J1" s="149"/>
    </row>
    <row r="2" spans="1:10" ht="21.75" customHeight="1" thickBot="1" x14ac:dyDescent="0.3">
      <c r="A2" s="18"/>
      <c r="B2" s="150" t="s">
        <v>0</v>
      </c>
      <c r="C2" s="151"/>
      <c r="D2" s="150" t="s">
        <v>1</v>
      </c>
      <c r="E2" s="151"/>
      <c r="F2" s="151"/>
      <c r="G2" s="151"/>
      <c r="H2" s="152"/>
      <c r="I2" s="1" t="s">
        <v>2</v>
      </c>
      <c r="J2" s="2" t="s">
        <v>3</v>
      </c>
    </row>
    <row r="3" spans="1:10" ht="21.75" thickBot="1" x14ac:dyDescent="0.3">
      <c r="A3" s="19"/>
      <c r="B3" s="153" t="s">
        <v>4</v>
      </c>
      <c r="C3" s="154"/>
      <c r="D3" s="153" t="s">
        <v>80</v>
      </c>
      <c r="E3" s="154"/>
      <c r="F3" s="154"/>
      <c r="G3" s="154"/>
      <c r="H3" s="155"/>
      <c r="I3" s="23" t="s">
        <v>78</v>
      </c>
      <c r="J3" s="24">
        <v>0</v>
      </c>
    </row>
    <row r="4" spans="1:10" ht="9.75" customHeight="1" x14ac:dyDescent="0.25">
      <c r="A4" s="140"/>
      <c r="B4" s="141"/>
      <c r="C4" s="141"/>
      <c r="D4" s="142"/>
      <c r="E4" s="142"/>
      <c r="F4" s="142"/>
      <c r="G4" s="142"/>
      <c r="H4" s="142"/>
      <c r="I4" s="141"/>
      <c r="J4" s="143"/>
    </row>
    <row r="5" spans="1:10" ht="3" customHeight="1" x14ac:dyDescent="0.25">
      <c r="A5" s="159"/>
      <c r="B5" s="160"/>
      <c r="C5" s="160"/>
      <c r="D5" s="160"/>
      <c r="E5" s="160"/>
      <c r="F5" s="160"/>
      <c r="G5" s="160"/>
      <c r="H5" s="160"/>
      <c r="I5" s="160"/>
      <c r="J5" s="161"/>
    </row>
    <row r="6" spans="1:10" ht="15.75" x14ac:dyDescent="0.25">
      <c r="A6" s="107" t="s">
        <v>84</v>
      </c>
      <c r="B6" s="108"/>
      <c r="C6" s="108"/>
      <c r="D6" s="108"/>
      <c r="E6" s="108"/>
      <c r="F6" s="108"/>
      <c r="G6" s="108"/>
      <c r="H6" s="108"/>
      <c r="I6" s="108"/>
      <c r="J6" s="109"/>
    </row>
    <row r="7" spans="1:10" ht="15.75" x14ac:dyDescent="0.25">
      <c r="A7" s="119" t="s">
        <v>5</v>
      </c>
      <c r="B7" s="120"/>
      <c r="C7" s="120"/>
      <c r="D7" s="120"/>
      <c r="E7" s="120"/>
      <c r="F7" s="120"/>
      <c r="G7" s="120"/>
      <c r="H7" s="120"/>
      <c r="I7" s="120"/>
      <c r="J7" s="121"/>
    </row>
    <row r="8" spans="1:10" x14ac:dyDescent="0.25">
      <c r="A8" s="3" t="s">
        <v>6</v>
      </c>
      <c r="B8" s="144" t="s">
        <v>48</v>
      </c>
      <c r="C8" s="145"/>
      <c r="D8" s="145"/>
      <c r="E8" s="145"/>
      <c r="F8" s="145"/>
      <c r="G8" s="145"/>
      <c r="H8" s="145"/>
      <c r="I8" s="145"/>
      <c r="J8" s="146"/>
    </row>
    <row r="9" spans="1:10" ht="15" customHeight="1" x14ac:dyDescent="0.25">
      <c r="A9" s="20" t="s">
        <v>35</v>
      </c>
      <c r="B9" s="144" t="s">
        <v>49</v>
      </c>
      <c r="C9" s="145"/>
      <c r="D9" s="145"/>
      <c r="E9" s="145"/>
      <c r="F9" s="145"/>
      <c r="G9" s="145"/>
      <c r="H9" s="145"/>
      <c r="I9" s="145"/>
      <c r="J9" s="146"/>
    </row>
    <row r="10" spans="1:10" x14ac:dyDescent="0.25">
      <c r="A10" s="20" t="s">
        <v>36</v>
      </c>
      <c r="B10" s="144" t="s">
        <v>50</v>
      </c>
      <c r="C10" s="145"/>
      <c r="D10" s="145"/>
      <c r="E10" s="145"/>
      <c r="F10" s="145"/>
      <c r="G10" s="145"/>
      <c r="H10" s="145"/>
      <c r="I10" s="145"/>
      <c r="J10" s="146"/>
    </row>
    <row r="11" spans="1:10" ht="29.25" customHeight="1" x14ac:dyDescent="0.25">
      <c r="A11" s="3" t="s">
        <v>7</v>
      </c>
      <c r="B11" s="117" t="s">
        <v>51</v>
      </c>
      <c r="C11" s="117"/>
      <c r="D11" s="117"/>
      <c r="E11" s="117"/>
      <c r="F11" s="117"/>
      <c r="G11" s="117"/>
      <c r="H11" s="117"/>
      <c r="I11" s="117"/>
      <c r="J11" s="118"/>
    </row>
    <row r="12" spans="1:10" ht="32.25" customHeight="1" x14ac:dyDescent="0.25">
      <c r="A12" s="3" t="s">
        <v>8</v>
      </c>
      <c r="B12" s="117" t="s">
        <v>52</v>
      </c>
      <c r="C12" s="117"/>
      <c r="D12" s="117"/>
      <c r="E12" s="117"/>
      <c r="F12" s="117"/>
      <c r="G12" s="117"/>
      <c r="H12" s="117"/>
      <c r="I12" s="117"/>
      <c r="J12" s="118"/>
    </row>
    <row r="13" spans="1:10" ht="15.75" x14ac:dyDescent="0.25">
      <c r="A13" s="107" t="s">
        <v>9</v>
      </c>
      <c r="B13" s="108"/>
      <c r="C13" s="108"/>
      <c r="D13" s="108"/>
      <c r="E13" s="108"/>
      <c r="F13" s="108"/>
      <c r="G13" s="108"/>
      <c r="H13" s="108"/>
      <c r="I13" s="108"/>
      <c r="J13" s="109"/>
    </row>
    <row r="14" spans="1:10" x14ac:dyDescent="0.25">
      <c r="A14" s="3" t="s">
        <v>10</v>
      </c>
      <c r="B14" s="21">
        <v>2</v>
      </c>
      <c r="C14" s="158" t="str">
        <f>IFERROR(VLOOKUP(B14,'[1]Validacion datos'!A2:B5,2,FALSE),"")</f>
        <v>DESARROLLO SOCIAL</v>
      </c>
      <c r="D14" s="158"/>
      <c r="E14" s="158"/>
      <c r="F14" s="158"/>
      <c r="G14" s="158"/>
      <c r="H14" s="158"/>
      <c r="I14" s="158"/>
      <c r="J14" s="158"/>
    </row>
    <row r="15" spans="1:10" x14ac:dyDescent="0.25">
      <c r="A15" s="3" t="s">
        <v>11</v>
      </c>
      <c r="B15" s="6">
        <v>2.5</v>
      </c>
      <c r="C15" s="158" t="str">
        <f>IFERROR(VLOOKUP(B15,'[1]Validacion datos'!A8:B26,2,FALSE),"")</f>
        <v>Vivienda digna en entornos saludables</v>
      </c>
      <c r="D15" s="158"/>
      <c r="E15" s="158"/>
      <c r="F15" s="158"/>
      <c r="G15" s="158"/>
      <c r="H15" s="158"/>
      <c r="I15" s="158"/>
      <c r="J15" s="158"/>
    </row>
    <row r="16" spans="1:10" x14ac:dyDescent="0.25">
      <c r="A16" s="3" t="s">
        <v>12</v>
      </c>
      <c r="B16" s="7" t="s">
        <v>53</v>
      </c>
      <c r="C16" s="162" t="str">
        <f>IFERROR(VLOOKUP(B16,'[1]Validacion datos'!D8:E64,2,FALSE),"")</f>
        <v>Garantizar el acceso universal a servicios de agua potable y saneamiento, provistos con calidad y eficiencia</v>
      </c>
      <c r="D16" s="162"/>
      <c r="E16" s="162"/>
      <c r="F16" s="162"/>
      <c r="G16" s="162"/>
      <c r="H16" s="162"/>
      <c r="I16" s="162"/>
      <c r="J16" s="162"/>
    </row>
    <row r="17" spans="1:17" ht="15.75" x14ac:dyDescent="0.25">
      <c r="A17" s="107" t="s">
        <v>13</v>
      </c>
      <c r="B17" s="108"/>
      <c r="C17" s="108"/>
      <c r="D17" s="108"/>
      <c r="E17" s="108"/>
      <c r="F17" s="108"/>
      <c r="G17" s="108"/>
      <c r="H17" s="108"/>
      <c r="I17" s="108"/>
      <c r="J17" s="109"/>
    </row>
    <row r="18" spans="1:17" x14ac:dyDescent="0.25">
      <c r="A18" s="3" t="s">
        <v>14</v>
      </c>
      <c r="B18" s="117" t="s">
        <v>54</v>
      </c>
      <c r="C18" s="117"/>
      <c r="D18" s="117"/>
      <c r="E18" s="117"/>
      <c r="F18" s="117"/>
      <c r="G18" s="117"/>
      <c r="H18" s="117"/>
      <c r="I18" s="117"/>
      <c r="J18" s="118"/>
    </row>
    <row r="19" spans="1:17" ht="141" customHeight="1" x14ac:dyDescent="0.25">
      <c r="A19" s="8" t="s">
        <v>15</v>
      </c>
      <c r="B19" s="117" t="s">
        <v>97</v>
      </c>
      <c r="C19" s="117"/>
      <c r="D19" s="117"/>
      <c r="E19" s="117"/>
      <c r="F19" s="117"/>
      <c r="G19" s="117"/>
      <c r="H19" s="117"/>
      <c r="I19" s="117"/>
      <c r="J19" s="118"/>
    </row>
    <row r="20" spans="1:17" ht="14.25" customHeight="1" x14ac:dyDescent="0.25">
      <c r="A20" s="8" t="s">
        <v>16</v>
      </c>
      <c r="B20" s="126" t="s">
        <v>94</v>
      </c>
      <c r="C20" s="126"/>
      <c r="D20" s="126"/>
      <c r="E20" s="126"/>
      <c r="F20" s="126"/>
      <c r="G20" s="126"/>
      <c r="H20" s="126"/>
      <c r="I20" s="126"/>
      <c r="J20" s="127"/>
    </row>
    <row r="21" spans="1:17" x14ac:dyDescent="0.25">
      <c r="A21" s="8" t="s">
        <v>37</v>
      </c>
      <c r="B21" s="117" t="s">
        <v>67</v>
      </c>
      <c r="C21" s="117"/>
      <c r="D21" s="117"/>
      <c r="E21" s="117"/>
      <c r="F21" s="117"/>
      <c r="G21" s="117"/>
      <c r="H21" s="117"/>
      <c r="I21" s="117"/>
      <c r="J21" s="118"/>
      <c r="K21" s="74"/>
      <c r="N21" s="92">
        <v>283215559.42000002</v>
      </c>
      <c r="O21" s="93"/>
      <c r="P21" s="93"/>
      <c r="Q21" s="93"/>
    </row>
    <row r="22" spans="1:17" ht="15.75" x14ac:dyDescent="0.25">
      <c r="A22" s="107" t="s">
        <v>17</v>
      </c>
      <c r="B22" s="108"/>
      <c r="C22" s="108"/>
      <c r="D22" s="108"/>
      <c r="E22" s="108"/>
      <c r="F22" s="108"/>
      <c r="G22" s="108"/>
      <c r="H22" s="108"/>
      <c r="I22" s="108"/>
      <c r="J22" s="109"/>
      <c r="N22" s="92">
        <v>791143333.5</v>
      </c>
      <c r="O22" s="93"/>
      <c r="P22" s="93"/>
      <c r="Q22" s="93"/>
    </row>
    <row r="23" spans="1:17" ht="15.75" x14ac:dyDescent="0.25">
      <c r="A23" s="119" t="s">
        <v>18</v>
      </c>
      <c r="B23" s="120"/>
      <c r="C23" s="120"/>
      <c r="D23" s="120"/>
      <c r="E23" s="120"/>
      <c r="F23" s="120"/>
      <c r="G23" s="120"/>
      <c r="H23" s="120"/>
      <c r="I23" s="120"/>
      <c r="J23" s="121"/>
      <c r="N23" s="92">
        <v>1218234178.9000001</v>
      </c>
      <c r="O23" s="93"/>
      <c r="P23" s="93"/>
      <c r="Q23" s="93"/>
    </row>
    <row r="24" spans="1:17" ht="15" customHeight="1" x14ac:dyDescent="0.25">
      <c r="A24" s="163" t="s">
        <v>19</v>
      </c>
      <c r="B24" s="125"/>
      <c r="C24" s="122" t="s">
        <v>20</v>
      </c>
      <c r="D24" s="124"/>
      <c r="E24" s="124"/>
      <c r="F24" s="124" t="s">
        <v>21</v>
      </c>
      <c r="G24" s="124"/>
      <c r="H24" s="125"/>
      <c r="I24" s="122" t="s">
        <v>22</v>
      </c>
      <c r="J24" s="123"/>
      <c r="K24" s="34">
        <v>1713782114.1099999</v>
      </c>
      <c r="L24" s="34"/>
      <c r="N24" s="92">
        <v>2007141854.03</v>
      </c>
      <c r="O24" s="97">
        <f>+N24-N30</f>
        <v>280881352.25</v>
      </c>
      <c r="P24" s="93"/>
      <c r="Q24" s="93"/>
    </row>
    <row r="25" spans="1:17" x14ac:dyDescent="0.25">
      <c r="A25" s="130">
        <v>4509276813</v>
      </c>
      <c r="B25" s="131"/>
      <c r="C25" s="137">
        <f>+D29</f>
        <v>6435351259.75</v>
      </c>
      <c r="D25" s="138"/>
      <c r="E25" s="139"/>
      <c r="F25" s="172">
        <v>3427762985.6500001</v>
      </c>
      <c r="G25" s="173"/>
      <c r="H25" s="174"/>
      <c r="I25" s="132">
        <f>IF(F25&gt;0,F25/C25,0)</f>
        <v>0.53264582573588404</v>
      </c>
      <c r="J25" s="133"/>
      <c r="K25" s="48"/>
      <c r="L25" s="34"/>
      <c r="N25" s="92">
        <f>SUM(N21:N24)</f>
        <v>4299734925.8500004</v>
      </c>
      <c r="O25" s="93" t="s">
        <v>117</v>
      </c>
      <c r="P25" s="93"/>
      <c r="Q25" s="93"/>
    </row>
    <row r="26" spans="1:17" ht="15.75" x14ac:dyDescent="0.25">
      <c r="A26" s="119" t="s">
        <v>23</v>
      </c>
      <c r="B26" s="120"/>
      <c r="C26" s="120"/>
      <c r="D26" s="120"/>
      <c r="E26" s="120"/>
      <c r="F26" s="120"/>
      <c r="G26" s="120"/>
      <c r="H26" s="120"/>
      <c r="I26" s="120"/>
      <c r="J26" s="121"/>
      <c r="L26" s="34"/>
      <c r="N26" s="94"/>
      <c r="O26" s="93"/>
      <c r="P26" s="93"/>
      <c r="Q26" s="93"/>
    </row>
    <row r="27" spans="1:17" ht="15" customHeight="1" x14ac:dyDescent="0.25">
      <c r="A27" s="4"/>
      <c r="B27"/>
      <c r="C27" s="134" t="s">
        <v>47</v>
      </c>
      <c r="D27" s="135"/>
      <c r="E27" s="134" t="s">
        <v>120</v>
      </c>
      <c r="F27" s="135"/>
      <c r="G27" s="134" t="s">
        <v>119</v>
      </c>
      <c r="H27" s="135"/>
      <c r="I27" s="134" t="s">
        <v>24</v>
      </c>
      <c r="J27" s="136"/>
      <c r="K27" s="78">
        <f>+C25-F25</f>
        <v>3007588274.0999999</v>
      </c>
      <c r="N27" s="93"/>
      <c r="O27" s="93"/>
      <c r="P27" s="93"/>
      <c r="Q27" s="93"/>
    </row>
    <row r="28" spans="1:17" ht="38.25" x14ac:dyDescent="0.25">
      <c r="A28" s="9" t="s">
        <v>25</v>
      </c>
      <c r="B28" s="10" t="s">
        <v>26</v>
      </c>
      <c r="C28" s="10" t="s">
        <v>38</v>
      </c>
      <c r="D28" s="10" t="s">
        <v>39</v>
      </c>
      <c r="E28" s="10" t="s">
        <v>41</v>
      </c>
      <c r="F28" s="10" t="s">
        <v>42</v>
      </c>
      <c r="G28" s="10" t="s">
        <v>43</v>
      </c>
      <c r="H28" s="10" t="s">
        <v>44</v>
      </c>
      <c r="I28" s="10" t="s">
        <v>45</v>
      </c>
      <c r="J28" s="11" t="s">
        <v>46</v>
      </c>
      <c r="K28" s="10" t="s">
        <v>105</v>
      </c>
      <c r="L28" s="64" t="s">
        <v>118</v>
      </c>
      <c r="N28" s="95">
        <v>1093134357.6700001</v>
      </c>
      <c r="O28" s="93" t="s">
        <v>112</v>
      </c>
      <c r="P28" s="93"/>
      <c r="Q28" s="93"/>
    </row>
    <row r="29" spans="1:17" ht="48" x14ac:dyDescent="0.25">
      <c r="A29" s="25" t="s">
        <v>83</v>
      </c>
      <c r="B29" s="26" t="s">
        <v>82</v>
      </c>
      <c r="C29" s="39">
        <v>608014080</v>
      </c>
      <c r="D29" s="13">
        <v>6435351259.75</v>
      </c>
      <c r="E29" s="13">
        <f>152003520*2</f>
        <v>304007040</v>
      </c>
      <c r="F29" s="13">
        <f>2125330406.12+[2]!Tabla1[[#This Row],[Financiera
(D)]]</f>
        <v>2768442563.9200001</v>
      </c>
      <c r="G29" s="62">
        <v>306370769.09090912</v>
      </c>
      <c r="H29" s="13">
        <v>2334628627.98</v>
      </c>
      <c r="I29" s="45">
        <f>IF(G29&gt;0,G29/E29,0)</f>
        <v>1.0077752445828527</v>
      </c>
      <c r="J29" s="36">
        <f>IF(H29&gt;0,H29/F29,0)</f>
        <v>0.8433003662081624</v>
      </c>
      <c r="K29" s="60">
        <f>+Tabla1[[#This Row],[Física 
(E)]]*4</f>
        <v>1225483076.3636365</v>
      </c>
      <c r="L29" s="54"/>
      <c r="N29" s="95">
        <f>+'[3]3ER TRIMESTRE DEVENGADO'!$P$327</f>
        <v>608368126.20000005</v>
      </c>
      <c r="O29" s="93" t="s">
        <v>113</v>
      </c>
      <c r="P29" s="93"/>
      <c r="Q29" s="95"/>
    </row>
    <row r="30" spans="1:17" ht="24" customHeight="1" x14ac:dyDescent="0.25">
      <c r="A30" s="43"/>
      <c r="B30" s="27" t="s">
        <v>81</v>
      </c>
      <c r="C30" s="44"/>
      <c r="D30" s="42">
        <f t="shared" ref="D30" si="0">+C26</f>
        <v>0</v>
      </c>
      <c r="E30" s="44">
        <f>80000000*2</f>
        <v>160000000</v>
      </c>
      <c r="F30" s="42">
        <v>0</v>
      </c>
      <c r="G30" s="44">
        <v>175426258.02169999</v>
      </c>
      <c r="H30" s="42"/>
      <c r="I30" s="45">
        <f>IF(G30&gt;0,G30/E30,0)</f>
        <v>1.096414112635625</v>
      </c>
      <c r="J30" s="46">
        <f>IF(H30&gt;0,H30/F30,0)</f>
        <v>0</v>
      </c>
      <c r="K30" s="65">
        <f>+Tabla1[[#This Row],[Física 
(E)]]*4</f>
        <v>701705032.08679998</v>
      </c>
      <c r="L30" s="54"/>
      <c r="N30" s="95">
        <v>1726260501.78</v>
      </c>
      <c r="O30" s="93" t="s">
        <v>114</v>
      </c>
      <c r="P30" s="93"/>
      <c r="Q30" s="93"/>
    </row>
    <row r="31" spans="1:17" ht="37.5" customHeight="1" x14ac:dyDescent="0.25">
      <c r="A31" s="43"/>
      <c r="B31" s="27" t="s">
        <v>79</v>
      </c>
      <c r="C31" s="44"/>
      <c r="D31" s="42">
        <v>0</v>
      </c>
      <c r="E31" s="42">
        <v>1250000</v>
      </c>
      <c r="F31" s="42"/>
      <c r="G31" s="42">
        <v>1243492</v>
      </c>
      <c r="H31" s="42"/>
      <c r="I31" s="45">
        <f>IF(G31&gt;0,G31/E31,0)</f>
        <v>0.99479359999999994</v>
      </c>
      <c r="J31" s="46">
        <f t="shared" ref="J31" si="1">IF(H31&gt;0,H31/F31,0)</f>
        <v>0</v>
      </c>
      <c r="K31" s="65">
        <f>+Tabla1[[#This Row],[Física 
(E)]]*4</f>
        <v>4973968</v>
      </c>
      <c r="L31" s="63"/>
      <c r="M31" s="52"/>
      <c r="N31" s="96">
        <f>SUM(N28:N30)</f>
        <v>3427762985.6500001</v>
      </c>
      <c r="O31" s="93" t="s">
        <v>131</v>
      </c>
      <c r="P31" s="93"/>
      <c r="Q31" s="93"/>
    </row>
    <row r="32" spans="1:17" ht="15.75" x14ac:dyDescent="0.25">
      <c r="A32" s="107" t="s">
        <v>27</v>
      </c>
      <c r="B32" s="108"/>
      <c r="C32" s="108"/>
      <c r="D32" s="108"/>
      <c r="E32" s="108"/>
      <c r="F32" s="108"/>
      <c r="G32" s="108"/>
      <c r="H32" s="108"/>
      <c r="I32" s="108"/>
      <c r="J32" s="109"/>
      <c r="L32" s="38"/>
      <c r="M32" s="47"/>
      <c r="N32" s="93"/>
      <c r="O32" s="93"/>
      <c r="P32" s="93"/>
      <c r="Q32" s="93"/>
    </row>
    <row r="33" spans="1:19" ht="15.75" x14ac:dyDescent="0.25">
      <c r="A33" s="119" t="s">
        <v>28</v>
      </c>
      <c r="B33" s="120"/>
      <c r="C33" s="120"/>
      <c r="D33" s="120"/>
      <c r="E33" s="120"/>
      <c r="F33" s="120"/>
      <c r="G33" s="120"/>
      <c r="H33" s="120"/>
      <c r="I33" s="120"/>
      <c r="J33" s="121"/>
      <c r="K33" s="52">
        <f>+G29-'[2]Programa 11'!$G$29</f>
        <v>153835110.00000003</v>
      </c>
      <c r="L33" s="34"/>
      <c r="M33" s="48"/>
    </row>
    <row r="34" spans="1:19" ht="26.25" customHeight="1" x14ac:dyDescent="0.25">
      <c r="A34" s="16" t="s">
        <v>29</v>
      </c>
      <c r="B34" s="126" t="s">
        <v>88</v>
      </c>
      <c r="C34" s="126"/>
      <c r="D34" s="126"/>
      <c r="E34" s="126"/>
      <c r="F34" s="126"/>
      <c r="G34" s="126"/>
      <c r="H34" s="126"/>
      <c r="I34" s="126"/>
      <c r="J34" s="127"/>
      <c r="P34" s="34"/>
      <c r="Q34" s="51"/>
    </row>
    <row r="35" spans="1:19" ht="27.75" customHeight="1" x14ac:dyDescent="0.25">
      <c r="A35" s="16" t="s">
        <v>30</v>
      </c>
      <c r="B35" s="117" t="s">
        <v>58</v>
      </c>
      <c r="C35" s="117"/>
      <c r="D35" s="117"/>
      <c r="E35" s="117"/>
      <c r="F35" s="117"/>
      <c r="G35" s="117"/>
      <c r="H35" s="117"/>
      <c r="I35" s="117"/>
      <c r="J35" s="118"/>
      <c r="L35" s="34">
        <f>+H29/F29</f>
        <v>0.8433003662081624</v>
      </c>
      <c r="P35" s="34"/>
      <c r="Q35" s="51"/>
    </row>
    <row r="36" spans="1:19" ht="67.5" customHeight="1" x14ac:dyDescent="0.25">
      <c r="A36" s="16" t="s">
        <v>31</v>
      </c>
      <c r="B36" s="128" t="s">
        <v>123</v>
      </c>
      <c r="C36" s="128"/>
      <c r="D36" s="128"/>
      <c r="E36" s="128"/>
      <c r="F36" s="128"/>
      <c r="G36" s="128"/>
      <c r="H36" s="128"/>
      <c r="I36" s="128"/>
      <c r="J36" s="129"/>
      <c r="K36" s="34">
        <f>+G29/437</f>
        <v>701077.27480757236</v>
      </c>
    </row>
    <row r="37" spans="1:19" ht="45.75" customHeight="1" x14ac:dyDescent="0.25">
      <c r="A37" s="16" t="s">
        <v>32</v>
      </c>
      <c r="B37" s="126" t="s">
        <v>124</v>
      </c>
      <c r="C37" s="126"/>
      <c r="D37" s="126"/>
      <c r="E37" s="126"/>
      <c r="F37" s="126"/>
      <c r="G37" s="126"/>
      <c r="H37" s="126"/>
      <c r="I37" s="126"/>
      <c r="J37" s="127"/>
      <c r="N37" s="106"/>
      <c r="O37" s="106"/>
      <c r="P37" s="106"/>
      <c r="Q37" s="106"/>
      <c r="R37" s="106"/>
      <c r="S37" s="106"/>
    </row>
    <row r="38" spans="1:19" ht="15.75" x14ac:dyDescent="0.25">
      <c r="A38" s="107" t="s">
        <v>33</v>
      </c>
      <c r="B38" s="108"/>
      <c r="C38" s="108"/>
      <c r="D38" s="108"/>
      <c r="E38" s="108"/>
      <c r="F38" s="108"/>
      <c r="G38" s="108"/>
      <c r="H38" s="108"/>
      <c r="I38" s="108"/>
      <c r="J38" s="109"/>
      <c r="N38" s="106"/>
      <c r="O38" s="106"/>
      <c r="P38" s="106"/>
      <c r="Q38" s="106"/>
      <c r="R38" s="106"/>
      <c r="S38" s="106"/>
    </row>
    <row r="39" spans="1:19" ht="15.75" x14ac:dyDescent="0.25">
      <c r="A39" s="110" t="s">
        <v>34</v>
      </c>
      <c r="B39" s="111"/>
      <c r="C39" s="111"/>
      <c r="D39" s="111"/>
      <c r="E39" s="111"/>
      <c r="F39" s="111"/>
      <c r="G39" s="111"/>
      <c r="H39" s="111"/>
      <c r="I39" s="111"/>
      <c r="J39" s="112"/>
      <c r="K39" s="98" t="s">
        <v>122</v>
      </c>
      <c r="N39" s="53"/>
    </row>
    <row r="40" spans="1:19" ht="32.25" customHeight="1" x14ac:dyDescent="0.25">
      <c r="A40" s="113" t="s">
        <v>95</v>
      </c>
      <c r="B40" s="114"/>
      <c r="C40" s="114"/>
      <c r="D40" s="114"/>
      <c r="E40" s="114"/>
      <c r="F40" s="114"/>
      <c r="G40" s="114"/>
      <c r="H40" s="114"/>
      <c r="I40" s="114"/>
      <c r="J40" s="115"/>
      <c r="M40" s="47">
        <f>+N25-N31</f>
        <v>871971940.20000029</v>
      </c>
    </row>
    <row r="41" spans="1:19" ht="6" customHeight="1" x14ac:dyDescent="0.25">
      <c r="A41" s="22"/>
      <c r="B41" s="22"/>
      <c r="C41" s="22"/>
      <c r="D41" s="22"/>
      <c r="E41" s="22"/>
      <c r="F41" s="22"/>
      <c r="G41" s="22"/>
      <c r="H41" s="22"/>
      <c r="I41" s="22"/>
      <c r="J41" s="22"/>
    </row>
    <row r="42" spans="1:19" ht="14.25" customHeight="1" x14ac:dyDescent="0.25">
      <c r="A42" s="116" t="s">
        <v>40</v>
      </c>
      <c r="B42" s="116"/>
      <c r="C42" s="116"/>
      <c r="D42" s="116"/>
      <c r="E42" s="116"/>
      <c r="F42" s="116"/>
      <c r="G42" s="116"/>
      <c r="H42" s="116"/>
      <c r="I42" s="116"/>
      <c r="J42" s="116"/>
      <c r="L42" s="34"/>
    </row>
    <row r="43" spans="1:19" x14ac:dyDescent="0.25">
      <c r="A43" s="49" t="s">
        <v>89</v>
      </c>
      <c r="B43" s="50">
        <f>+A25</f>
        <v>4509276813</v>
      </c>
      <c r="L43" s="34">
        <v>283215559.42000002</v>
      </c>
    </row>
    <row r="44" spans="1:19" x14ac:dyDescent="0.25">
      <c r="A44" s="49" t="s">
        <v>90</v>
      </c>
      <c r="B44" s="50">
        <f>+C25</f>
        <v>6435351259.75</v>
      </c>
      <c r="G44" s="156"/>
      <c r="H44" s="156"/>
      <c r="I44" s="156"/>
      <c r="J44" s="156"/>
      <c r="L44" s="34">
        <v>791143333.5</v>
      </c>
    </row>
    <row r="45" spans="1:19" x14ac:dyDescent="0.25">
      <c r="A45" s="49" t="s">
        <v>91</v>
      </c>
      <c r="B45" s="50">
        <f>+F25</f>
        <v>3427762985.6500001</v>
      </c>
      <c r="G45" s="157"/>
      <c r="H45" s="157"/>
      <c r="I45" s="157"/>
      <c r="J45" s="157"/>
      <c r="L45" s="34">
        <v>1218234178.9000001</v>
      </c>
      <c r="M45" s="47">
        <f>+L45-'[3]3ER TRIMESTRE DEVENGADO'!$P$327</f>
        <v>609866052.70000005</v>
      </c>
    </row>
    <row r="46" spans="1:19" ht="12" hidden="1" customHeight="1" x14ac:dyDescent="0.25">
      <c r="A46" s="67"/>
      <c r="B46" s="67"/>
      <c r="C46" s="67"/>
      <c r="D46" s="67"/>
      <c r="G46" s="157"/>
      <c r="H46" s="157"/>
      <c r="I46" s="157"/>
      <c r="J46" s="157"/>
      <c r="L46" s="34"/>
    </row>
    <row r="47" spans="1:19" ht="12.75" customHeight="1" x14ac:dyDescent="0.25">
      <c r="A47" s="156"/>
      <c r="B47" s="156"/>
      <c r="C47" s="156"/>
      <c r="D47" s="156"/>
      <c r="L47" s="34" t="e">
        <f>+#REF!+#REF!+#REF!</f>
        <v>#REF!</v>
      </c>
    </row>
    <row r="48" spans="1:19" ht="15" customHeight="1" x14ac:dyDescent="0.25">
      <c r="A48" s="58"/>
      <c r="B48" s="58"/>
      <c r="C48" s="58"/>
      <c r="D48" s="58"/>
      <c r="G48" s="57"/>
      <c r="H48" s="57"/>
      <c r="I48" s="57"/>
      <c r="J48" s="57"/>
      <c r="L48" s="34" t="e">
        <f>SUM(L43:L47)</f>
        <v>#REF!</v>
      </c>
    </row>
    <row r="49" spans="1:10" x14ac:dyDescent="0.25">
      <c r="A49" s="57" t="s">
        <v>99</v>
      </c>
      <c r="B49" s="58"/>
      <c r="C49" s="157" t="s">
        <v>100</v>
      </c>
      <c r="D49" s="157"/>
      <c r="E49" s="157"/>
      <c r="H49" s="157" t="s">
        <v>101</v>
      </c>
      <c r="I49" s="157"/>
      <c r="J49" s="157"/>
    </row>
    <row r="51" spans="1:10" ht="15.75" thickBot="1" x14ac:dyDescent="0.3">
      <c r="A51" s="56"/>
      <c r="B51" s="59"/>
      <c r="C51" s="164"/>
      <c r="D51" s="164"/>
      <c r="E51" s="164"/>
      <c r="H51" s="164"/>
      <c r="I51" s="164"/>
      <c r="J51" s="164"/>
    </row>
    <row r="52" spans="1:10" x14ac:dyDescent="0.25">
      <c r="A52" s="59" t="s">
        <v>98</v>
      </c>
      <c r="C52" s="156" t="s">
        <v>102</v>
      </c>
      <c r="D52" s="156"/>
      <c r="E52" s="156"/>
      <c r="H52" s="156" t="s">
        <v>92</v>
      </c>
      <c r="I52" s="156"/>
      <c r="J52" s="156"/>
    </row>
    <row r="53" spans="1:10" x14ac:dyDescent="0.25">
      <c r="A53" s="59" t="s">
        <v>103</v>
      </c>
      <c r="C53" s="156" t="s">
        <v>104</v>
      </c>
      <c r="D53" s="156"/>
      <c r="E53" s="156"/>
      <c r="H53" s="156" t="s">
        <v>93</v>
      </c>
      <c r="I53" s="156"/>
      <c r="J53" s="156"/>
    </row>
    <row r="573" spans="5:5" x14ac:dyDescent="0.25">
      <c r="E573" s="5">
        <f>+E561+E542+E503+E441+E404</f>
        <v>0</v>
      </c>
    </row>
    <row r="743" spans="7:7" x14ac:dyDescent="0.25">
      <c r="G743" s="5">
        <f>+G714+G696+G676+G673+G667+G647+G639+G636+G633+G630+G624+G612+G606+G599+G596+G575</f>
        <v>0</v>
      </c>
    </row>
  </sheetData>
  <mergeCells count="61">
    <mergeCell ref="A47:D47"/>
    <mergeCell ref="C53:E53"/>
    <mergeCell ref="H49:J49"/>
    <mergeCell ref="H52:J52"/>
    <mergeCell ref="H53:J53"/>
    <mergeCell ref="C49:E49"/>
    <mergeCell ref="C51:E51"/>
    <mergeCell ref="C52:E52"/>
    <mergeCell ref="H51:J51"/>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 ref="B1:J1"/>
    <mergeCell ref="B2:C2"/>
    <mergeCell ref="D2:H2"/>
    <mergeCell ref="B3:C3"/>
    <mergeCell ref="D3:H3"/>
    <mergeCell ref="A4:J4"/>
    <mergeCell ref="B8:J8"/>
    <mergeCell ref="B11:J11"/>
    <mergeCell ref="B12:J12"/>
    <mergeCell ref="A13:J13"/>
    <mergeCell ref="B9:J9"/>
    <mergeCell ref="B10:J10"/>
    <mergeCell ref="B34:J34"/>
    <mergeCell ref="B35:J35"/>
    <mergeCell ref="B36:J36"/>
    <mergeCell ref="B37:J37"/>
    <mergeCell ref="A25:B25"/>
    <mergeCell ref="I25:J25"/>
    <mergeCell ref="A26:J26"/>
    <mergeCell ref="C27:D27"/>
    <mergeCell ref="G27:H27"/>
    <mergeCell ref="I27:J27"/>
    <mergeCell ref="C25:E25"/>
    <mergeCell ref="F25:H25"/>
    <mergeCell ref="E27:F27"/>
    <mergeCell ref="B21:J21"/>
    <mergeCell ref="A32:J32"/>
    <mergeCell ref="A33:J33"/>
    <mergeCell ref="I24:J24"/>
    <mergeCell ref="C24:E24"/>
    <mergeCell ref="F24:H24"/>
    <mergeCell ref="N37:S38"/>
    <mergeCell ref="A38:J38"/>
    <mergeCell ref="A39:J39"/>
    <mergeCell ref="A40:J40"/>
    <mergeCell ref="A42:J42"/>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B43:B44 F28 D28 D29:F31" xr:uid="{247AEBBA-5BB4-404D-982B-514E41C68A75}"/>
    <dataValidation allowBlank="1" showInputMessage="1" showErrorMessage="1" prompt="Meta anual del indicador" sqref="E28 C28:C31"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64E24E06-9F86-4AD0-9689-20886DD2F038}"/>
    <dataValidation allowBlank="1" showInputMessage="1" showErrorMessage="1" prompt="1. Describir lo plasmado en el presupuesto_x000a_2. Describir lo alcanzado en términos financieros y de producción " sqref="B36:J36" xr:uid="{7396D714-32DD-4A30-88B8-8940881D054D}"/>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44" right="0.23622047244094491" top="0.74803149606299213" bottom="0.74803149606299213" header="0.31496062992125984" footer="0.31496062992125984"/>
  <pageSetup scale="61" fitToHeight="0" orientation="portrait" r:id="rId1"/>
  <drawing r:id="rId2"/>
  <legacy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105" t="s">
        <v>71</v>
      </c>
      <c r="B18" s="105"/>
      <c r="C18" s="105"/>
      <c r="D18" s="105"/>
      <c r="E18" s="105"/>
      <c r="F18" s="105"/>
      <c r="G18" s="105"/>
      <c r="H18" s="105"/>
      <c r="I18" s="105"/>
      <c r="J18" s="105"/>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743"/>
  <sheetViews>
    <sheetView view="pageBreakPreview" topLeftCell="A11" zoomScaleNormal="100" zoomScaleSheetLayoutView="100" workbookViewId="0">
      <selection activeCell="B40" sqref="B40:J40"/>
    </sheetView>
  </sheetViews>
  <sheetFormatPr baseColWidth="10" defaultRowHeight="15" x14ac:dyDescent="0.25"/>
  <cols>
    <col min="1" max="1" width="36" style="5" customWidth="1"/>
    <col min="2" max="2" width="14.5703125" style="5" customWidth="1"/>
    <col min="3" max="3" width="15" style="5" customWidth="1"/>
    <col min="4" max="4" width="16.7109375" style="5" customWidth="1"/>
    <col min="5" max="5" width="12.7109375" style="5" customWidth="1"/>
    <col min="6" max="6" width="13.85546875" style="5" bestFit="1" customWidth="1"/>
    <col min="7" max="7" width="14.28515625" style="5" customWidth="1"/>
    <col min="8" max="9" width="12.7109375" style="5" customWidth="1"/>
    <col min="10" max="10" width="22" style="5" customWidth="1"/>
    <col min="11" max="11" width="27.5703125" hidden="1" customWidth="1"/>
    <col min="12" max="12" width="16.85546875" bestFit="1" customWidth="1"/>
    <col min="13" max="15" width="19.140625" bestFit="1" customWidth="1"/>
    <col min="16" max="16" width="17.28515625" bestFit="1" customWidth="1"/>
    <col min="17" max="17" width="14.140625" bestFit="1" customWidth="1"/>
    <col min="18" max="18" width="19.140625" bestFit="1" customWidth="1"/>
  </cols>
  <sheetData>
    <row r="1" spans="1:10" ht="21.75" customHeight="1" thickBot="1" x14ac:dyDescent="0.3">
      <c r="A1" s="17"/>
      <c r="B1" s="147" t="s">
        <v>121</v>
      </c>
      <c r="C1" s="148"/>
      <c r="D1" s="148"/>
      <c r="E1" s="148"/>
      <c r="F1" s="148"/>
      <c r="G1" s="148"/>
      <c r="H1" s="148"/>
      <c r="I1" s="148"/>
      <c r="J1" s="149"/>
    </row>
    <row r="2" spans="1:10" ht="21.75" thickBot="1" x14ac:dyDescent="0.3">
      <c r="A2" s="18"/>
      <c r="B2" s="150" t="s">
        <v>0</v>
      </c>
      <c r="C2" s="151"/>
      <c r="D2" s="150" t="s">
        <v>1</v>
      </c>
      <c r="E2" s="151"/>
      <c r="F2" s="151"/>
      <c r="G2" s="151"/>
      <c r="H2" s="152"/>
      <c r="I2" s="1" t="s">
        <v>2</v>
      </c>
      <c r="J2" s="2" t="s">
        <v>3</v>
      </c>
    </row>
    <row r="3" spans="1:10" ht="21.75" thickBot="1" x14ac:dyDescent="0.3">
      <c r="A3" s="19"/>
      <c r="B3" s="153" t="s">
        <v>4</v>
      </c>
      <c r="C3" s="154"/>
      <c r="D3" s="153" t="str">
        <f>+'Programa 11'!D3</f>
        <v>Lineamientos para la Ejecución Presupuestaria 2019 de Empresas Publicas no Financieras</v>
      </c>
      <c r="E3" s="154"/>
      <c r="F3" s="154"/>
      <c r="G3" s="154"/>
      <c r="H3" s="155"/>
      <c r="I3" s="23"/>
      <c r="J3" s="24"/>
    </row>
    <row r="4" spans="1:10" ht="7.5" customHeight="1" x14ac:dyDescent="0.25">
      <c r="A4" s="140"/>
      <c r="B4" s="141"/>
      <c r="C4" s="141"/>
      <c r="D4" s="142"/>
      <c r="E4" s="142"/>
      <c r="F4" s="142"/>
      <c r="G4" s="142"/>
      <c r="H4" s="142"/>
      <c r="I4" s="141"/>
      <c r="J4" s="143"/>
    </row>
    <row r="5" spans="1:10" ht="3" customHeight="1" x14ac:dyDescent="0.25">
      <c r="A5" s="159"/>
      <c r="B5" s="160"/>
      <c r="C5" s="160"/>
      <c r="D5" s="160"/>
      <c r="E5" s="160"/>
      <c r="F5" s="160"/>
      <c r="G5" s="160"/>
      <c r="H5" s="160"/>
      <c r="I5" s="160"/>
      <c r="J5" s="161"/>
    </row>
    <row r="6" spans="1:10" ht="15.75" x14ac:dyDescent="0.25">
      <c r="A6" s="107" t="s">
        <v>84</v>
      </c>
      <c r="B6" s="108"/>
      <c r="C6" s="108"/>
      <c r="D6" s="108"/>
      <c r="E6" s="108"/>
      <c r="F6" s="108"/>
      <c r="G6" s="108"/>
      <c r="H6" s="108"/>
      <c r="I6" s="108"/>
      <c r="J6" s="109"/>
    </row>
    <row r="7" spans="1:10" ht="15.75" x14ac:dyDescent="0.25">
      <c r="A7" s="119" t="s">
        <v>5</v>
      </c>
      <c r="B7" s="120"/>
      <c r="C7" s="120"/>
      <c r="D7" s="120"/>
      <c r="E7" s="120"/>
      <c r="F7" s="120"/>
      <c r="G7" s="120"/>
      <c r="H7" s="120"/>
      <c r="I7" s="120"/>
      <c r="J7" s="121"/>
    </row>
    <row r="8" spans="1:10" x14ac:dyDescent="0.25">
      <c r="A8" s="3" t="s">
        <v>6</v>
      </c>
      <c r="B8" s="144" t="s">
        <v>48</v>
      </c>
      <c r="C8" s="145"/>
      <c r="D8" s="145"/>
      <c r="E8" s="145"/>
      <c r="F8" s="145"/>
      <c r="G8" s="145"/>
      <c r="H8" s="145"/>
      <c r="I8" s="145"/>
      <c r="J8" s="146"/>
    </row>
    <row r="9" spans="1:10" ht="15" customHeight="1" x14ac:dyDescent="0.25">
      <c r="A9" s="20" t="s">
        <v>35</v>
      </c>
      <c r="B9" s="144" t="s">
        <v>49</v>
      </c>
      <c r="C9" s="145"/>
      <c r="D9" s="145"/>
      <c r="E9" s="145"/>
      <c r="F9" s="145"/>
      <c r="G9" s="145"/>
      <c r="H9" s="145"/>
      <c r="I9" s="145"/>
      <c r="J9" s="146"/>
    </row>
    <row r="10" spans="1:10" x14ac:dyDescent="0.25">
      <c r="A10" s="20" t="s">
        <v>36</v>
      </c>
      <c r="B10" s="144" t="s">
        <v>50</v>
      </c>
      <c r="C10" s="145"/>
      <c r="D10" s="145"/>
      <c r="E10" s="145"/>
      <c r="F10" s="145"/>
      <c r="G10" s="145"/>
      <c r="H10" s="145"/>
      <c r="I10" s="145"/>
      <c r="J10" s="146"/>
    </row>
    <row r="11" spans="1:10" ht="30.75" customHeight="1" x14ac:dyDescent="0.25">
      <c r="A11" s="3" t="s">
        <v>7</v>
      </c>
      <c r="B11" s="117" t="s">
        <v>51</v>
      </c>
      <c r="C11" s="117"/>
      <c r="D11" s="117"/>
      <c r="E11" s="117"/>
      <c r="F11" s="117"/>
      <c r="G11" s="117"/>
      <c r="H11" s="117"/>
      <c r="I11" s="117"/>
      <c r="J11" s="118"/>
    </row>
    <row r="12" spans="1:10" ht="32.25" customHeight="1" x14ac:dyDescent="0.25">
      <c r="A12" s="3" t="s">
        <v>8</v>
      </c>
      <c r="B12" s="117" t="s">
        <v>52</v>
      </c>
      <c r="C12" s="117"/>
      <c r="D12" s="117"/>
      <c r="E12" s="117"/>
      <c r="F12" s="117"/>
      <c r="G12" s="117"/>
      <c r="H12" s="117"/>
      <c r="I12" s="117"/>
      <c r="J12" s="118"/>
    </row>
    <row r="13" spans="1:10" ht="15.75" x14ac:dyDescent="0.25">
      <c r="A13" s="107" t="s">
        <v>9</v>
      </c>
      <c r="B13" s="108"/>
      <c r="C13" s="108"/>
      <c r="D13" s="108"/>
      <c r="E13" s="108"/>
      <c r="F13" s="108"/>
      <c r="G13" s="108"/>
      <c r="H13" s="108"/>
      <c r="I13" s="108"/>
      <c r="J13" s="109"/>
    </row>
    <row r="14" spans="1:10" x14ac:dyDescent="0.25">
      <c r="A14" s="3" t="s">
        <v>10</v>
      </c>
      <c r="B14" s="21">
        <v>2</v>
      </c>
      <c r="C14" s="158" t="str">
        <f>IFERROR(VLOOKUP(B14,'[1]Validacion datos'!A2:B5,2,FALSE),"")</f>
        <v>DESARROLLO SOCIAL</v>
      </c>
      <c r="D14" s="158"/>
      <c r="E14" s="158"/>
      <c r="F14" s="158"/>
      <c r="G14" s="158"/>
      <c r="H14" s="158"/>
      <c r="I14" s="158"/>
      <c r="J14" s="158"/>
    </row>
    <row r="15" spans="1:10" x14ac:dyDescent="0.25">
      <c r="A15" s="3" t="s">
        <v>11</v>
      </c>
      <c r="B15" s="6">
        <v>2.5</v>
      </c>
      <c r="C15" s="158" t="str">
        <f>IFERROR(VLOOKUP(B15,'[1]Validacion datos'!A8:B26,2,FALSE),"")</f>
        <v>Vivienda digna en entornos saludables</v>
      </c>
      <c r="D15" s="158"/>
      <c r="E15" s="158"/>
      <c r="F15" s="158"/>
      <c r="G15" s="158"/>
      <c r="H15" s="158"/>
      <c r="I15" s="158"/>
      <c r="J15" s="158"/>
    </row>
    <row r="16" spans="1:10" x14ac:dyDescent="0.25">
      <c r="A16" s="3" t="s">
        <v>12</v>
      </c>
      <c r="B16" s="7" t="s">
        <v>53</v>
      </c>
      <c r="C16" s="162" t="str">
        <f>IFERROR(VLOOKUP(B16,'[1]Validacion datos'!D8:E64,2,FALSE),"")</f>
        <v>Garantizar el acceso universal a servicios de agua potable y saneamiento, provistos con calidad y eficiencia</v>
      </c>
      <c r="D16" s="162"/>
      <c r="E16" s="162"/>
      <c r="F16" s="162"/>
      <c r="G16" s="162"/>
      <c r="H16" s="162"/>
      <c r="I16" s="162"/>
      <c r="J16" s="162"/>
    </row>
    <row r="17" spans="1:18" ht="15.75" x14ac:dyDescent="0.25">
      <c r="A17" s="107" t="s">
        <v>13</v>
      </c>
      <c r="B17" s="108"/>
      <c r="C17" s="108"/>
      <c r="D17" s="108"/>
      <c r="E17" s="108"/>
      <c r="F17" s="108"/>
      <c r="G17" s="108"/>
      <c r="H17" s="108"/>
      <c r="I17" s="108"/>
      <c r="J17" s="109"/>
      <c r="M17" s="34"/>
      <c r="N17" s="34"/>
    </row>
    <row r="18" spans="1:18" x14ac:dyDescent="0.25">
      <c r="A18" s="3" t="s">
        <v>14</v>
      </c>
      <c r="B18" s="117" t="s">
        <v>55</v>
      </c>
      <c r="C18" s="117"/>
      <c r="D18" s="117"/>
      <c r="E18" s="117"/>
      <c r="F18" s="117"/>
      <c r="G18" s="117"/>
      <c r="H18" s="117"/>
      <c r="I18" s="117"/>
      <c r="J18" s="118"/>
      <c r="M18" s="34"/>
      <c r="N18" s="34"/>
    </row>
    <row r="19" spans="1:18" ht="49.5" customHeight="1" x14ac:dyDescent="0.25">
      <c r="A19" s="8" t="s">
        <v>15</v>
      </c>
      <c r="B19" s="117" t="s">
        <v>56</v>
      </c>
      <c r="C19" s="117"/>
      <c r="D19" s="117"/>
      <c r="E19" s="117"/>
      <c r="F19" s="117"/>
      <c r="G19" s="117"/>
      <c r="H19" s="117"/>
      <c r="I19" s="117"/>
      <c r="J19" s="118"/>
    </row>
    <row r="20" spans="1:18" ht="15" customHeight="1" x14ac:dyDescent="0.25">
      <c r="A20" s="8" t="s">
        <v>16</v>
      </c>
      <c r="B20" s="126" t="s">
        <v>94</v>
      </c>
      <c r="C20" s="126"/>
      <c r="D20" s="126"/>
      <c r="E20" s="126"/>
      <c r="F20" s="126"/>
      <c r="G20" s="126"/>
      <c r="H20" s="126"/>
      <c r="I20" s="126"/>
      <c r="J20" s="127"/>
    </row>
    <row r="21" spans="1:18" x14ac:dyDescent="0.25">
      <c r="A21" s="8" t="s">
        <v>37</v>
      </c>
      <c r="B21" s="117" t="s">
        <v>68</v>
      </c>
      <c r="C21" s="117"/>
      <c r="D21" s="117"/>
      <c r="E21" s="117"/>
      <c r="F21" s="117"/>
      <c r="G21" s="117"/>
      <c r="H21" s="117"/>
      <c r="I21" s="117"/>
      <c r="J21" s="118"/>
    </row>
    <row r="22" spans="1:18" ht="15.75" x14ac:dyDescent="0.25">
      <c r="A22" s="107" t="s">
        <v>17</v>
      </c>
      <c r="B22" s="108"/>
      <c r="C22" s="108"/>
      <c r="D22" s="108"/>
      <c r="E22" s="108"/>
      <c r="F22" s="108"/>
      <c r="G22" s="108"/>
      <c r="H22" s="108"/>
      <c r="I22" s="108"/>
      <c r="J22" s="109"/>
      <c r="K22" s="34"/>
      <c r="L22" s="34"/>
      <c r="M22" s="34"/>
      <c r="N22" s="34"/>
    </row>
    <row r="23" spans="1:18" ht="15.75" x14ac:dyDescent="0.25">
      <c r="A23" s="119" t="s">
        <v>18</v>
      </c>
      <c r="B23" s="120"/>
      <c r="C23" s="120"/>
      <c r="D23" s="120"/>
      <c r="E23" s="120"/>
      <c r="F23" s="120"/>
      <c r="G23" s="120"/>
      <c r="H23" s="120"/>
      <c r="I23" s="120"/>
      <c r="J23" s="121"/>
      <c r="K23" s="34"/>
      <c r="L23" s="34">
        <v>1037257412.05</v>
      </c>
      <c r="M23" s="34"/>
      <c r="N23" s="34">
        <v>58058934.060000002</v>
      </c>
      <c r="O23" s="52">
        <f>SUM(L23:N23)</f>
        <v>1095316346.1099999</v>
      </c>
    </row>
    <row r="24" spans="1:18" ht="15" customHeight="1" x14ac:dyDescent="0.25">
      <c r="A24" s="163" t="s">
        <v>19</v>
      </c>
      <c r="B24" s="125"/>
      <c r="C24" s="122" t="s">
        <v>20</v>
      </c>
      <c r="D24" s="124"/>
      <c r="E24" s="124"/>
      <c r="F24" s="124" t="s">
        <v>21</v>
      </c>
      <c r="G24" s="124"/>
      <c r="H24" s="125"/>
      <c r="I24" s="122" t="s">
        <v>22</v>
      </c>
      <c r="J24" s="123"/>
      <c r="K24" s="34"/>
      <c r="L24" s="34">
        <v>412567420.62</v>
      </c>
      <c r="M24" s="34"/>
      <c r="N24" s="34">
        <v>188512694.52000001</v>
      </c>
      <c r="O24" s="52">
        <f t="shared" ref="O24:O26" si="0">SUM(L24:N24)</f>
        <v>601080115.13999999</v>
      </c>
    </row>
    <row r="25" spans="1:18" x14ac:dyDescent="0.25">
      <c r="A25" s="69">
        <v>1723611948</v>
      </c>
      <c r="B25" s="70"/>
      <c r="C25" s="168">
        <f>+D29+D30</f>
        <v>3509791788.1900001</v>
      </c>
      <c r="D25" s="169"/>
      <c r="E25" s="170"/>
      <c r="F25" s="137">
        <v>2651097677.3600001</v>
      </c>
      <c r="G25" s="138"/>
      <c r="H25" s="139"/>
      <c r="I25" s="132">
        <f>+F25/C25</f>
        <v>0.75534329024320024</v>
      </c>
      <c r="J25" s="133"/>
      <c r="K25" s="34"/>
      <c r="L25" s="77">
        <v>156514836.81999999</v>
      </c>
      <c r="N25" s="34">
        <v>96195350.530000001</v>
      </c>
      <c r="O25" s="52">
        <f t="shared" si="0"/>
        <v>252710187.34999999</v>
      </c>
    </row>
    <row r="26" spans="1:18" ht="15.75" x14ac:dyDescent="0.25">
      <c r="A26" s="119" t="s">
        <v>23</v>
      </c>
      <c r="B26" s="120"/>
      <c r="C26" s="120"/>
      <c r="D26" s="120"/>
      <c r="E26" s="120"/>
      <c r="F26" s="120"/>
      <c r="G26" s="120"/>
      <c r="H26" s="120"/>
      <c r="I26" s="120"/>
      <c r="J26" s="121"/>
      <c r="L26" s="52">
        <f>SUM(L23:L25)</f>
        <v>1606339669.49</v>
      </c>
      <c r="M26" s="52">
        <f t="shared" ref="M26" si="1">SUM(M23:M25)</f>
        <v>0</v>
      </c>
      <c r="N26" s="52">
        <f>SUM(N23:N25)</f>
        <v>342766979.11000001</v>
      </c>
      <c r="O26" s="52">
        <f t="shared" si="0"/>
        <v>1949106648.5999999</v>
      </c>
    </row>
    <row r="27" spans="1:18" ht="15.75" customHeight="1" x14ac:dyDescent="0.25">
      <c r="A27" s="4"/>
      <c r="B27"/>
      <c r="C27" s="134" t="s">
        <v>47</v>
      </c>
      <c r="D27" s="135"/>
      <c r="E27" s="134" t="s">
        <v>120</v>
      </c>
      <c r="F27" s="135"/>
      <c r="G27" s="134" t="s">
        <v>119</v>
      </c>
      <c r="H27" s="135"/>
      <c r="I27" s="134" t="s">
        <v>24</v>
      </c>
      <c r="J27" s="136"/>
      <c r="K27" s="38"/>
      <c r="L27" s="77"/>
      <c r="M27" s="55"/>
      <c r="N27" s="34"/>
    </row>
    <row r="28" spans="1:18" ht="38.25" x14ac:dyDescent="0.25">
      <c r="A28" s="9" t="s">
        <v>25</v>
      </c>
      <c r="B28" s="10" t="s">
        <v>26</v>
      </c>
      <c r="C28" s="10" t="s">
        <v>38</v>
      </c>
      <c r="D28" s="87" t="s">
        <v>39</v>
      </c>
      <c r="E28" s="10" t="s">
        <v>41</v>
      </c>
      <c r="F28" s="10" t="s">
        <v>42</v>
      </c>
      <c r="G28" s="10" t="s">
        <v>43</v>
      </c>
      <c r="H28" s="10" t="s">
        <v>44</v>
      </c>
      <c r="I28" s="10" t="s">
        <v>45</v>
      </c>
      <c r="J28" s="11" t="s">
        <v>46</v>
      </c>
      <c r="L28" s="34">
        <f>SUM(L26:L27)</f>
        <v>1606339669.49</v>
      </c>
      <c r="M28" s="34"/>
      <c r="N28" s="34">
        <f>+F25-L26</f>
        <v>1044758007.8700001</v>
      </c>
    </row>
    <row r="29" spans="1:18" ht="48" x14ac:dyDescent="0.25">
      <c r="A29" s="12" t="s">
        <v>73</v>
      </c>
      <c r="B29" s="26" t="s">
        <v>60</v>
      </c>
      <c r="C29" s="83">
        <v>150148942.15000001</v>
      </c>
      <c r="D29" s="83">
        <v>653552241.12</v>
      </c>
      <c r="E29" s="85">
        <v>62182927.159999996</v>
      </c>
      <c r="F29" s="76">
        <v>133433711.75</v>
      </c>
      <c r="G29" s="62">
        <v>56296434.818000004</v>
      </c>
      <c r="H29" s="13">
        <v>173495067.66</v>
      </c>
      <c r="I29" s="14">
        <f>IF(G29&gt;0,G29/E29,0)</f>
        <v>0.90533587576452079</v>
      </c>
      <c r="J29" s="36">
        <f>IF(H29&gt;0,H29/F29,0)</f>
        <v>1.3002341416167642</v>
      </c>
      <c r="K29" s="40" t="s">
        <v>76</v>
      </c>
      <c r="L29" s="34">
        <v>768815317.84000003</v>
      </c>
      <c r="M29" s="34" t="s">
        <v>108</v>
      </c>
      <c r="N29" s="34"/>
      <c r="Q29" s="34"/>
      <c r="R29" s="52"/>
    </row>
    <row r="30" spans="1:18" ht="60" x14ac:dyDescent="0.25">
      <c r="A30" s="15" t="s">
        <v>74</v>
      </c>
      <c r="B30" s="27" t="s">
        <v>62</v>
      </c>
      <c r="C30" s="84">
        <v>31097432.32</v>
      </c>
      <c r="D30" s="83">
        <v>2856239547.0700002</v>
      </c>
      <c r="E30" s="86">
        <v>15540953.58</v>
      </c>
      <c r="F30" s="44">
        <v>1863245641.6900001</v>
      </c>
      <c r="G30" s="100">
        <v>16193271.439999999</v>
      </c>
      <c r="H30" s="42">
        <v>1645002872.52</v>
      </c>
      <c r="I30" s="14">
        <f>IF(G30&gt;0,G30/E30,0)</f>
        <v>1.0419741206124882</v>
      </c>
      <c r="J30" s="36">
        <f>IF(H30&gt;0,H30/F30,0)</f>
        <v>0.88286956679955009</v>
      </c>
      <c r="K30" s="40" t="s">
        <v>77</v>
      </c>
      <c r="L30" s="34">
        <v>2730988104.8099999</v>
      </c>
      <c r="M30" s="34" t="s">
        <v>108</v>
      </c>
      <c r="N30" s="61"/>
      <c r="O30" s="61"/>
      <c r="R30" s="34"/>
    </row>
    <row r="31" spans="1:18" ht="15.75" x14ac:dyDescent="0.25">
      <c r="A31" s="107" t="s">
        <v>27</v>
      </c>
      <c r="B31" s="108"/>
      <c r="C31" s="108"/>
      <c r="D31" s="108"/>
      <c r="E31" s="108"/>
      <c r="F31" s="108"/>
      <c r="G31" s="108"/>
      <c r="H31" s="108"/>
      <c r="I31" s="108"/>
      <c r="J31" s="109"/>
      <c r="K31" s="41"/>
      <c r="L31" s="52">
        <f>SUM(L29:L30)</f>
        <v>3499803422.6500001</v>
      </c>
      <c r="M31" s="34"/>
      <c r="N31" s="80">
        <v>2856239547.0700002</v>
      </c>
      <c r="O31" s="74">
        <v>2231030981.1199999</v>
      </c>
      <c r="P31" s="34"/>
      <c r="R31" s="34"/>
    </row>
    <row r="32" spans="1:18" ht="15.75" x14ac:dyDescent="0.25">
      <c r="A32" s="119" t="s">
        <v>28</v>
      </c>
      <c r="B32" s="120"/>
      <c r="C32" s="120"/>
      <c r="D32" s="120"/>
      <c r="E32" s="120"/>
      <c r="F32" s="120"/>
      <c r="G32" s="120"/>
      <c r="H32" s="120"/>
      <c r="I32" s="120"/>
      <c r="J32" s="121"/>
      <c r="N32" s="74">
        <v>653552241.12</v>
      </c>
      <c r="O32" s="74">
        <v>420066696.24000001</v>
      </c>
    </row>
    <row r="33" spans="1:18" x14ac:dyDescent="0.25">
      <c r="A33" s="16" t="s">
        <v>29</v>
      </c>
      <c r="B33" s="126" t="s">
        <v>59</v>
      </c>
      <c r="C33" s="126"/>
      <c r="D33" s="126"/>
      <c r="E33" s="126"/>
      <c r="F33" s="126"/>
      <c r="G33" s="126"/>
      <c r="H33" s="126"/>
      <c r="I33" s="126"/>
      <c r="J33" s="127"/>
      <c r="M33" s="48" t="s">
        <v>109</v>
      </c>
      <c r="N33" s="77">
        <f>SUM(N31:N32)</f>
        <v>3509791788.1900001</v>
      </c>
      <c r="O33" s="77">
        <f>SUM(O31:O32)</f>
        <v>2651097677.3599997</v>
      </c>
    </row>
    <row r="34" spans="1:18" x14ac:dyDescent="0.25">
      <c r="A34" s="16" t="s">
        <v>30</v>
      </c>
      <c r="B34" s="126" t="s">
        <v>63</v>
      </c>
      <c r="C34" s="126"/>
      <c r="D34" s="126"/>
      <c r="E34" s="126"/>
      <c r="F34" s="126"/>
      <c r="G34" s="126"/>
      <c r="H34" s="126"/>
      <c r="I34" s="126"/>
      <c r="J34" s="127"/>
      <c r="K34" s="37"/>
      <c r="M34" s="74" t="e">
        <f>+F25+#REF!</f>
        <v>#REF!</v>
      </c>
      <c r="R34" s="34"/>
    </row>
    <row r="35" spans="1:18" ht="72" customHeight="1" x14ac:dyDescent="0.25">
      <c r="A35" s="16" t="s">
        <v>31</v>
      </c>
      <c r="B35" s="126" t="s">
        <v>125</v>
      </c>
      <c r="C35" s="126"/>
      <c r="D35" s="126"/>
      <c r="E35" s="126"/>
      <c r="F35" s="126"/>
      <c r="G35" s="126"/>
      <c r="H35" s="126"/>
      <c r="I35" s="126"/>
      <c r="J35" s="127"/>
      <c r="L35" s="34">
        <v>832599737.17999995</v>
      </c>
      <c r="M35" s="74"/>
      <c r="N35" s="77">
        <v>630692210.88999999</v>
      </c>
      <c r="R35" s="35"/>
    </row>
    <row r="36" spans="1:18" ht="56.25" customHeight="1" x14ac:dyDescent="0.25">
      <c r="A36" s="16" t="s">
        <v>32</v>
      </c>
      <c r="B36" s="126" t="s">
        <v>129</v>
      </c>
      <c r="C36" s="126"/>
      <c r="D36" s="126"/>
      <c r="E36" s="126"/>
      <c r="F36" s="126"/>
      <c r="G36" s="126"/>
      <c r="H36" s="126"/>
      <c r="I36" s="126"/>
      <c r="J36" s="127"/>
      <c r="L36" s="48">
        <f>+L35+H29+H30</f>
        <v>2651097677.3599997</v>
      </c>
      <c r="N36" s="77">
        <v>77299717.129999995</v>
      </c>
      <c r="R36" s="35"/>
    </row>
    <row r="37" spans="1:18" ht="27.75" customHeight="1" x14ac:dyDescent="0.25">
      <c r="A37" s="16" t="s">
        <v>29</v>
      </c>
      <c r="B37" s="126" t="s">
        <v>61</v>
      </c>
      <c r="C37" s="126"/>
      <c r="D37" s="126"/>
      <c r="E37" s="126"/>
      <c r="F37" s="126"/>
      <c r="G37" s="126"/>
      <c r="H37" s="126"/>
      <c r="I37" s="126"/>
      <c r="J37" s="127"/>
    </row>
    <row r="38" spans="1:18" ht="28.5" customHeight="1" x14ac:dyDescent="0.25">
      <c r="A38" s="16" t="s">
        <v>30</v>
      </c>
      <c r="B38" s="126" t="s">
        <v>64</v>
      </c>
      <c r="C38" s="126"/>
      <c r="D38" s="126"/>
      <c r="E38" s="126"/>
      <c r="F38" s="126"/>
      <c r="G38" s="126"/>
      <c r="H38" s="126"/>
      <c r="I38" s="126"/>
      <c r="J38" s="127"/>
      <c r="O38" s="79"/>
      <c r="P38" s="79"/>
    </row>
    <row r="39" spans="1:18" ht="74.25" customHeight="1" x14ac:dyDescent="0.25">
      <c r="A39" s="16" t="s">
        <v>31</v>
      </c>
      <c r="B39" s="126" t="s">
        <v>126</v>
      </c>
      <c r="C39" s="126"/>
      <c r="D39" s="126"/>
      <c r="E39" s="126"/>
      <c r="F39" s="126"/>
      <c r="G39" s="126"/>
      <c r="H39" s="126"/>
      <c r="I39" s="126"/>
      <c r="J39" s="127"/>
      <c r="L39" s="47">
        <v>428976.85</v>
      </c>
      <c r="N39" s="81" t="s">
        <v>115</v>
      </c>
      <c r="O39" s="82" t="s">
        <v>116</v>
      </c>
    </row>
    <row r="40" spans="1:18" ht="51.75" customHeight="1" thickBot="1" x14ac:dyDescent="0.3">
      <c r="A40" s="16" t="s">
        <v>32</v>
      </c>
      <c r="B40" s="126" t="s">
        <v>130</v>
      </c>
      <c r="C40" s="126"/>
      <c r="D40" s="126"/>
      <c r="E40" s="126"/>
      <c r="F40" s="126"/>
      <c r="G40" s="126"/>
      <c r="H40" s="126"/>
      <c r="I40" s="126"/>
      <c r="J40" s="127"/>
      <c r="N40" s="77">
        <v>1119683639</v>
      </c>
      <c r="O40" s="90">
        <v>1327914590</v>
      </c>
    </row>
    <row r="41" spans="1:18" ht="16.5" thickBot="1" x14ac:dyDescent="0.3">
      <c r="A41" s="107" t="s">
        <v>33</v>
      </c>
      <c r="B41" s="108"/>
      <c r="C41" s="108"/>
      <c r="D41" s="108"/>
      <c r="E41" s="108"/>
      <c r="F41" s="108"/>
      <c r="G41" s="108"/>
      <c r="H41" s="108"/>
      <c r="I41" s="108"/>
      <c r="J41" s="109"/>
      <c r="N41" s="77">
        <v>380316361</v>
      </c>
      <c r="O41" s="91">
        <v>101008221.89</v>
      </c>
    </row>
    <row r="42" spans="1:18" ht="16.5" customHeight="1" thickBot="1" x14ac:dyDescent="0.3">
      <c r="A42" s="110" t="s">
        <v>34</v>
      </c>
      <c r="B42" s="111"/>
      <c r="C42" s="111"/>
      <c r="D42" s="111"/>
      <c r="E42" s="111"/>
      <c r="F42" s="111"/>
      <c r="G42" s="111"/>
      <c r="H42" s="111"/>
      <c r="I42" s="111"/>
      <c r="J42" s="112"/>
      <c r="O42" s="34">
        <v>604009388.36000001</v>
      </c>
    </row>
    <row r="43" spans="1:18" ht="19.5" customHeight="1" thickBot="1" x14ac:dyDescent="0.3">
      <c r="A43" s="165" t="s">
        <v>96</v>
      </c>
      <c r="B43" s="166"/>
      <c r="C43" s="166"/>
      <c r="D43" s="166"/>
      <c r="E43" s="166"/>
      <c r="F43" s="166"/>
      <c r="G43" s="166"/>
      <c r="H43" s="166"/>
      <c r="I43" s="166"/>
      <c r="J43" s="167"/>
      <c r="O43" s="91">
        <v>849757118.80999994</v>
      </c>
    </row>
    <row r="44" spans="1:18" ht="24.75" customHeight="1" x14ac:dyDescent="0.25">
      <c r="A44" s="116" t="s">
        <v>40</v>
      </c>
      <c r="B44" s="116"/>
      <c r="C44" s="116"/>
      <c r="D44" s="116"/>
      <c r="E44" s="116"/>
      <c r="F44" s="116"/>
      <c r="G44" s="116"/>
      <c r="H44" s="116"/>
      <c r="I44" s="116"/>
      <c r="J44" s="116"/>
      <c r="O44" s="52">
        <f>SUM(O40:O43)</f>
        <v>2882689319.0599999</v>
      </c>
    </row>
    <row r="45" spans="1:18" x14ac:dyDescent="0.25">
      <c r="A45" s="49" t="s">
        <v>89</v>
      </c>
      <c r="B45" s="50">
        <f>+A25</f>
        <v>1723611948</v>
      </c>
      <c r="O45" s="52">
        <f>+O44-1500000000</f>
        <v>1382689319.0599999</v>
      </c>
    </row>
    <row r="46" spans="1:18" x14ac:dyDescent="0.25">
      <c r="A46" s="49" t="s">
        <v>90</v>
      </c>
      <c r="B46" s="50">
        <f>+C25</f>
        <v>3509791788.1900001</v>
      </c>
      <c r="G46" s="156"/>
      <c r="H46" s="156"/>
      <c r="I46" s="156"/>
      <c r="J46" s="156"/>
    </row>
    <row r="47" spans="1:18" x14ac:dyDescent="0.25">
      <c r="A47" s="49" t="s">
        <v>91</v>
      </c>
      <c r="B47" s="50">
        <f>+F25</f>
        <v>2651097677.3600001</v>
      </c>
      <c r="G47" s="157"/>
      <c r="H47" s="157"/>
      <c r="I47" s="157"/>
      <c r="J47" s="157"/>
    </row>
    <row r="48" spans="1:18" ht="16.5" customHeight="1" x14ac:dyDescent="0.25">
      <c r="A48" s="68"/>
      <c r="B48" s="67"/>
      <c r="C48" s="67"/>
      <c r="D48" s="67"/>
      <c r="G48" s="157"/>
      <c r="H48" s="157"/>
      <c r="I48" s="157"/>
      <c r="J48" s="157"/>
    </row>
    <row r="49" spans="1:10" x14ac:dyDescent="0.25">
      <c r="A49" s="58"/>
      <c r="B49" s="58"/>
      <c r="C49" s="58"/>
      <c r="D49" s="58"/>
      <c r="G49" s="57"/>
      <c r="H49" s="57"/>
      <c r="I49" s="57"/>
      <c r="J49" s="57"/>
    </row>
    <row r="50" spans="1:10" x14ac:dyDescent="0.25">
      <c r="A50" s="57" t="s">
        <v>99</v>
      </c>
      <c r="B50" s="58"/>
      <c r="C50" s="157" t="s">
        <v>100</v>
      </c>
      <c r="D50" s="157"/>
      <c r="E50" s="157"/>
      <c r="G50" s="157" t="s">
        <v>101</v>
      </c>
      <c r="H50" s="157"/>
      <c r="I50" s="157"/>
      <c r="J50" s="157"/>
    </row>
    <row r="52" spans="1:10" ht="15.75" thickBot="1" x14ac:dyDescent="0.3">
      <c r="A52" s="56"/>
      <c r="B52" s="59"/>
      <c r="C52" s="164"/>
      <c r="D52" s="164"/>
      <c r="E52" s="164"/>
    </row>
    <row r="53" spans="1:10" x14ac:dyDescent="0.25">
      <c r="A53" s="59" t="s">
        <v>98</v>
      </c>
      <c r="C53" s="156" t="s">
        <v>102</v>
      </c>
      <c r="D53" s="156"/>
      <c r="E53" s="156"/>
      <c r="G53" s="171" t="s">
        <v>92</v>
      </c>
      <c r="H53" s="171"/>
      <c r="I53" s="171"/>
      <c r="J53" s="171"/>
    </row>
    <row r="54" spans="1:10" x14ac:dyDescent="0.25">
      <c r="A54" s="59" t="s">
        <v>103</v>
      </c>
      <c r="C54" s="156" t="s">
        <v>104</v>
      </c>
      <c r="D54" s="156"/>
      <c r="E54" s="156"/>
      <c r="G54" s="156" t="s">
        <v>93</v>
      </c>
      <c r="H54" s="156"/>
      <c r="I54" s="156"/>
      <c r="J54" s="156"/>
    </row>
    <row r="573" spans="5:5" x14ac:dyDescent="0.25">
      <c r="E573" s="5">
        <f>+E561+E542+E503+E441+E404</f>
        <v>0</v>
      </c>
    </row>
    <row r="743" spans="7:7" x14ac:dyDescent="0.25">
      <c r="G743" s="5">
        <f>+G714+G696+G676+G673+G667+G647+G639+G636+G633+G630+G624+G612+G606+G599+G596+G575</f>
        <v>0</v>
      </c>
    </row>
  </sheetData>
  <mergeCells count="61">
    <mergeCell ref="C50:E50"/>
    <mergeCell ref="G50:J50"/>
    <mergeCell ref="G53:J53"/>
    <mergeCell ref="G54:J54"/>
    <mergeCell ref="C52:E52"/>
    <mergeCell ref="C53:E53"/>
    <mergeCell ref="C54:E54"/>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C25:E25"/>
    <mergeCell ref="F25:H25"/>
    <mergeCell ref="I25:J25"/>
    <mergeCell ref="A26:J26"/>
    <mergeCell ref="C27:D27"/>
    <mergeCell ref="E27:F27"/>
    <mergeCell ref="G27:H27"/>
    <mergeCell ref="I27:J27"/>
    <mergeCell ref="A32:J32"/>
    <mergeCell ref="B33:J33"/>
    <mergeCell ref="B34:J34"/>
    <mergeCell ref="B35:J35"/>
    <mergeCell ref="B36:J36"/>
    <mergeCell ref="A42:J42"/>
    <mergeCell ref="A43:J43"/>
    <mergeCell ref="A44:J44"/>
    <mergeCell ref="B37:J37"/>
    <mergeCell ref="B38:J38"/>
    <mergeCell ref="B39:J39"/>
    <mergeCell ref="B40:J40"/>
    <mergeCell ref="A41:J41"/>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40:J40 B36:J36"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E28 C28:C30" xr:uid="{3DADC0A4-2376-4BBE-B9A4-BA20148AD393}"/>
    <dataValidation allowBlank="1" showInputMessage="1" showErrorMessage="1" prompt="Monto presupuestado para el producto" sqref="B45:B46 D28 F28:F30 E29:E30"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56" fitToHeight="0" orientation="portrait" r:id="rId1"/>
  <rowBreaks count="1" manualBreakCount="1">
    <brk id="54" max="9" man="1"/>
  </rowBreaks>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105" t="s">
        <v>72</v>
      </c>
      <c r="B18" s="105"/>
      <c r="C18" s="105"/>
      <c r="D18" s="105"/>
      <c r="E18" s="105"/>
      <c r="F18" s="105"/>
      <c r="G18" s="105"/>
      <c r="H18" s="105"/>
      <c r="I18" s="105"/>
      <c r="J18" s="105"/>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M743"/>
  <sheetViews>
    <sheetView tabSelected="1" view="pageBreakPreview" topLeftCell="A28" zoomScale="130" zoomScaleNormal="100" zoomScaleSheetLayoutView="130" workbookViewId="0">
      <selection activeCell="B35" sqref="B35:J35"/>
    </sheetView>
  </sheetViews>
  <sheetFormatPr baseColWidth="10" defaultRowHeight="15" x14ac:dyDescent="0.25"/>
  <cols>
    <col min="1" max="1" width="26.5703125" style="5" customWidth="1"/>
    <col min="2" max="2" width="13.28515625" style="5" bestFit="1" customWidth="1"/>
    <col min="3" max="3" width="12.7109375" style="5" customWidth="1"/>
    <col min="4" max="4" width="15.140625" style="5" customWidth="1"/>
    <col min="5" max="5" width="12.7109375" style="5" customWidth="1"/>
    <col min="6" max="6" width="14.7109375" style="5" bestFit="1" customWidth="1"/>
    <col min="7" max="9" width="12.7109375" style="5" customWidth="1"/>
    <col min="10" max="10" width="12.140625" style="5" customWidth="1"/>
    <col min="11" max="11" width="16.140625" bestFit="1" customWidth="1"/>
    <col min="12" max="12" width="14.5703125" bestFit="1" customWidth="1"/>
  </cols>
  <sheetData>
    <row r="1" spans="1:10" ht="21.75" customHeight="1" thickBot="1" x14ac:dyDescent="0.3">
      <c r="A1" s="17"/>
      <c r="B1" s="147" t="s">
        <v>121</v>
      </c>
      <c r="C1" s="148"/>
      <c r="D1" s="148"/>
      <c r="E1" s="148"/>
      <c r="F1" s="148"/>
      <c r="G1" s="148"/>
      <c r="H1" s="148"/>
      <c r="I1" s="148"/>
      <c r="J1" s="149"/>
    </row>
    <row r="2" spans="1:10" ht="21.75" thickBot="1" x14ac:dyDescent="0.3">
      <c r="A2" s="18"/>
      <c r="B2" s="150" t="s">
        <v>0</v>
      </c>
      <c r="C2" s="151"/>
      <c r="D2" s="150" t="s">
        <v>1</v>
      </c>
      <c r="E2" s="151"/>
      <c r="F2" s="151"/>
      <c r="G2" s="151"/>
      <c r="H2" s="152"/>
      <c r="I2" s="1" t="s">
        <v>2</v>
      </c>
      <c r="J2" s="2" t="s">
        <v>3</v>
      </c>
    </row>
    <row r="3" spans="1:10" ht="21.75" thickBot="1" x14ac:dyDescent="0.3">
      <c r="A3" s="19"/>
      <c r="B3" s="153" t="s">
        <v>4</v>
      </c>
      <c r="C3" s="154"/>
      <c r="D3" s="153"/>
      <c r="E3" s="154"/>
      <c r="F3" s="154"/>
      <c r="G3" s="154"/>
      <c r="H3" s="155"/>
      <c r="I3" s="23"/>
      <c r="J3" s="24"/>
    </row>
    <row r="4" spans="1:10" ht="9.75" customHeight="1" x14ac:dyDescent="0.25">
      <c r="A4" s="140"/>
      <c r="B4" s="141"/>
      <c r="C4" s="141"/>
      <c r="D4" s="142"/>
      <c r="E4" s="142"/>
      <c r="F4" s="142"/>
      <c r="G4" s="142"/>
      <c r="H4" s="142"/>
      <c r="I4" s="141"/>
      <c r="J4" s="143"/>
    </row>
    <row r="5" spans="1:10" ht="3" customHeight="1" x14ac:dyDescent="0.25">
      <c r="A5" s="159"/>
      <c r="B5" s="160"/>
      <c r="C5" s="160"/>
      <c r="D5" s="160"/>
      <c r="E5" s="160"/>
      <c r="F5" s="160"/>
      <c r="G5" s="160"/>
      <c r="H5" s="160"/>
      <c r="I5" s="160"/>
      <c r="J5" s="161"/>
    </row>
    <row r="6" spans="1:10" ht="15.75" x14ac:dyDescent="0.25">
      <c r="A6" s="107" t="s">
        <v>84</v>
      </c>
      <c r="B6" s="108"/>
      <c r="C6" s="108"/>
      <c r="D6" s="108"/>
      <c r="E6" s="108"/>
      <c r="F6" s="108"/>
      <c r="G6" s="108"/>
      <c r="H6" s="108"/>
      <c r="I6" s="108"/>
      <c r="J6" s="109"/>
    </row>
    <row r="7" spans="1:10" ht="15.75" x14ac:dyDescent="0.25">
      <c r="A7" s="119" t="s">
        <v>5</v>
      </c>
      <c r="B7" s="120"/>
      <c r="C7" s="120"/>
      <c r="D7" s="120"/>
      <c r="E7" s="120"/>
      <c r="F7" s="120"/>
      <c r="G7" s="120"/>
      <c r="H7" s="120"/>
      <c r="I7" s="120"/>
      <c r="J7" s="121"/>
    </row>
    <row r="8" spans="1:10" x14ac:dyDescent="0.25">
      <c r="A8" s="3" t="s">
        <v>6</v>
      </c>
      <c r="B8" s="144" t="s">
        <v>48</v>
      </c>
      <c r="C8" s="145"/>
      <c r="D8" s="145"/>
      <c r="E8" s="145"/>
      <c r="F8" s="145"/>
      <c r="G8" s="145"/>
      <c r="H8" s="145"/>
      <c r="I8" s="145"/>
      <c r="J8" s="146"/>
    </row>
    <row r="9" spans="1:10" ht="15" customHeight="1" x14ac:dyDescent="0.25">
      <c r="A9" s="20" t="s">
        <v>35</v>
      </c>
      <c r="B9" s="144" t="s">
        <v>49</v>
      </c>
      <c r="C9" s="145"/>
      <c r="D9" s="145"/>
      <c r="E9" s="145"/>
      <c r="F9" s="145"/>
      <c r="G9" s="145"/>
      <c r="H9" s="145"/>
      <c r="I9" s="145"/>
      <c r="J9" s="146"/>
    </row>
    <row r="10" spans="1:10" x14ac:dyDescent="0.25">
      <c r="A10" s="20" t="s">
        <v>36</v>
      </c>
      <c r="B10" s="144" t="s">
        <v>50</v>
      </c>
      <c r="C10" s="145"/>
      <c r="D10" s="145"/>
      <c r="E10" s="145"/>
      <c r="F10" s="145"/>
      <c r="G10" s="145"/>
      <c r="H10" s="145"/>
      <c r="I10" s="145"/>
      <c r="J10" s="146"/>
    </row>
    <row r="11" spans="1:10" ht="33" customHeight="1" x14ac:dyDescent="0.25">
      <c r="A11" s="3" t="s">
        <v>7</v>
      </c>
      <c r="B11" s="117" t="s">
        <v>51</v>
      </c>
      <c r="C11" s="117"/>
      <c r="D11" s="117"/>
      <c r="E11" s="117"/>
      <c r="F11" s="117"/>
      <c r="G11" s="117"/>
      <c r="H11" s="117"/>
      <c r="I11" s="117"/>
      <c r="J11" s="118"/>
    </row>
    <row r="12" spans="1:10" ht="32.25" customHeight="1" x14ac:dyDescent="0.25">
      <c r="A12" s="3" t="s">
        <v>8</v>
      </c>
      <c r="B12" s="117" t="s">
        <v>52</v>
      </c>
      <c r="C12" s="117"/>
      <c r="D12" s="117"/>
      <c r="E12" s="117"/>
      <c r="F12" s="117"/>
      <c r="G12" s="117"/>
      <c r="H12" s="117"/>
      <c r="I12" s="117"/>
      <c r="J12" s="118"/>
    </row>
    <row r="13" spans="1:10" ht="15.75" x14ac:dyDescent="0.25">
      <c r="A13" s="107" t="s">
        <v>9</v>
      </c>
      <c r="B13" s="108"/>
      <c r="C13" s="108"/>
      <c r="D13" s="108"/>
      <c r="E13" s="108"/>
      <c r="F13" s="108"/>
      <c r="G13" s="108"/>
      <c r="H13" s="108"/>
      <c r="I13" s="108"/>
      <c r="J13" s="109"/>
    </row>
    <row r="14" spans="1:10" ht="20.25" customHeight="1" x14ac:dyDescent="0.25">
      <c r="A14" s="3" t="s">
        <v>10</v>
      </c>
      <c r="B14" s="21">
        <v>2</v>
      </c>
      <c r="C14" s="158" t="str">
        <f>IFERROR(VLOOKUP(B14,'[1]Validacion datos'!A2:B5,2,FALSE),"")</f>
        <v>DESARROLLO SOCIAL</v>
      </c>
      <c r="D14" s="158"/>
      <c r="E14" s="158"/>
      <c r="F14" s="158"/>
      <c r="G14" s="158"/>
      <c r="H14" s="158"/>
      <c r="I14" s="158"/>
      <c r="J14" s="158"/>
    </row>
    <row r="15" spans="1:10" ht="26.25" customHeight="1" x14ac:dyDescent="0.25">
      <c r="A15" s="3" t="s">
        <v>11</v>
      </c>
      <c r="B15" s="6">
        <v>2.5</v>
      </c>
      <c r="C15" s="158" t="str">
        <f>IFERROR(VLOOKUP(B15,'[1]Validacion datos'!A8:B26,2,FALSE),"")</f>
        <v>Vivienda digna en entornos saludables</v>
      </c>
      <c r="D15" s="158"/>
      <c r="E15" s="158"/>
      <c r="F15" s="158"/>
      <c r="G15" s="158"/>
      <c r="H15" s="158"/>
      <c r="I15" s="158"/>
      <c r="J15" s="158"/>
    </row>
    <row r="16" spans="1:10" x14ac:dyDescent="0.25">
      <c r="A16" s="3" t="s">
        <v>12</v>
      </c>
      <c r="B16" s="7" t="s">
        <v>53</v>
      </c>
      <c r="C16" s="162" t="str">
        <f>IFERROR(VLOOKUP(B16,'[1]Validacion datos'!D8:E64,2,FALSE),"")</f>
        <v>Garantizar el acceso universal a servicios de agua potable y saneamiento, provistos con calidad y eficiencia</v>
      </c>
      <c r="D16" s="162"/>
      <c r="E16" s="162"/>
      <c r="F16" s="162"/>
      <c r="G16" s="162"/>
      <c r="H16" s="162"/>
      <c r="I16" s="162"/>
      <c r="J16" s="162"/>
    </row>
    <row r="17" spans="1:12" ht="15.75" x14ac:dyDescent="0.25">
      <c r="A17" s="107" t="s">
        <v>13</v>
      </c>
      <c r="B17" s="108"/>
      <c r="C17" s="108"/>
      <c r="D17" s="108"/>
      <c r="E17" s="108"/>
      <c r="F17" s="108"/>
      <c r="G17" s="108"/>
      <c r="H17" s="108"/>
      <c r="I17" s="108"/>
      <c r="J17" s="109"/>
    </row>
    <row r="18" spans="1:12" ht="23.25" customHeight="1" x14ac:dyDescent="0.25">
      <c r="A18" s="3" t="s">
        <v>14</v>
      </c>
      <c r="B18" s="117" t="s">
        <v>57</v>
      </c>
      <c r="C18" s="117"/>
      <c r="D18" s="117"/>
      <c r="E18" s="117"/>
      <c r="F18" s="117"/>
      <c r="G18" s="117"/>
      <c r="H18" s="117"/>
      <c r="I18" s="117"/>
      <c r="J18" s="118"/>
    </row>
    <row r="19" spans="1:12" ht="28.5" customHeight="1" x14ac:dyDescent="0.25">
      <c r="A19" s="8" t="s">
        <v>15</v>
      </c>
      <c r="B19" s="117" t="s">
        <v>85</v>
      </c>
      <c r="C19" s="117"/>
      <c r="D19" s="117"/>
      <c r="E19" s="117"/>
      <c r="F19" s="117"/>
      <c r="G19" s="117"/>
      <c r="H19" s="117"/>
      <c r="I19" s="117"/>
      <c r="J19" s="118"/>
    </row>
    <row r="20" spans="1:12" ht="21" customHeight="1" x14ac:dyDescent="0.25">
      <c r="A20" s="8" t="s">
        <v>16</v>
      </c>
      <c r="B20" s="126" t="s">
        <v>94</v>
      </c>
      <c r="C20" s="126"/>
      <c r="D20" s="126"/>
      <c r="E20" s="126"/>
      <c r="F20" s="126"/>
      <c r="G20" s="126"/>
      <c r="H20" s="126"/>
      <c r="I20" s="126"/>
      <c r="J20" s="127"/>
    </row>
    <row r="21" spans="1:12" x14ac:dyDescent="0.25">
      <c r="A21" s="8" t="s">
        <v>37</v>
      </c>
      <c r="B21" s="117" t="s">
        <v>86</v>
      </c>
      <c r="C21" s="117"/>
      <c r="D21" s="117"/>
      <c r="E21" s="117"/>
      <c r="F21" s="117"/>
      <c r="G21" s="117"/>
      <c r="H21" s="117"/>
      <c r="I21" s="117"/>
      <c r="J21" s="118"/>
    </row>
    <row r="22" spans="1:12" ht="15.75" x14ac:dyDescent="0.25">
      <c r="A22" s="107" t="s">
        <v>17</v>
      </c>
      <c r="B22" s="108"/>
      <c r="C22" s="108"/>
      <c r="D22" s="108"/>
      <c r="E22" s="108"/>
      <c r="F22" s="108"/>
      <c r="G22" s="108"/>
      <c r="H22" s="108"/>
      <c r="I22" s="108"/>
      <c r="J22" s="109"/>
    </row>
    <row r="23" spans="1:12" ht="15.75" x14ac:dyDescent="0.25">
      <c r="A23" s="119" t="s">
        <v>18</v>
      </c>
      <c r="B23" s="120"/>
      <c r="C23" s="120"/>
      <c r="D23" s="120"/>
      <c r="E23" s="120"/>
      <c r="F23" s="120"/>
      <c r="G23" s="120"/>
      <c r="H23" s="120"/>
      <c r="I23" s="120"/>
      <c r="J23" s="121"/>
    </row>
    <row r="24" spans="1:12" ht="15" customHeight="1" x14ac:dyDescent="0.25">
      <c r="A24" s="163" t="s">
        <v>19</v>
      </c>
      <c r="B24" s="125"/>
      <c r="C24" s="122" t="s">
        <v>20</v>
      </c>
      <c r="D24" s="124"/>
      <c r="E24" s="124"/>
      <c r="F24" s="124" t="s">
        <v>21</v>
      </c>
      <c r="G24" s="124"/>
      <c r="H24" s="125"/>
      <c r="I24" s="122" t="s">
        <v>22</v>
      </c>
      <c r="J24" s="123"/>
    </row>
    <row r="25" spans="1:12" x14ac:dyDescent="0.25">
      <c r="A25" s="69">
        <v>400351394</v>
      </c>
      <c r="B25" s="70"/>
      <c r="C25" s="137" cm="1">
        <f t="array" ref="C25">+Tabla134[Financiera
(B)]</f>
        <v>421888104.16000003</v>
      </c>
      <c r="D25" s="138"/>
      <c r="E25" s="139"/>
      <c r="F25" s="137">
        <v>161560620.78999999</v>
      </c>
      <c r="G25" s="138"/>
      <c r="H25" s="139"/>
      <c r="I25" s="132">
        <f>IF(F25&gt;0,F25/C25,0)</f>
        <v>0.38294661356161047</v>
      </c>
      <c r="J25" s="133"/>
      <c r="K25" s="37">
        <v>161819185.78999999</v>
      </c>
    </row>
    <row r="26" spans="1:12" ht="15.75" x14ac:dyDescent="0.25">
      <c r="A26" s="119" t="s">
        <v>23</v>
      </c>
      <c r="B26" s="120"/>
      <c r="C26" s="120"/>
      <c r="D26" s="120"/>
      <c r="E26" s="120"/>
      <c r="F26" s="120"/>
      <c r="G26" s="120"/>
      <c r="H26" s="120"/>
      <c r="I26" s="120"/>
      <c r="J26" s="121"/>
    </row>
    <row r="27" spans="1:12" ht="15" customHeight="1" x14ac:dyDescent="0.25">
      <c r="A27" s="4"/>
      <c r="B27"/>
      <c r="C27" s="134" t="s">
        <v>47</v>
      </c>
      <c r="D27" s="135"/>
      <c r="E27" s="134" t="s">
        <v>120</v>
      </c>
      <c r="F27" s="135"/>
      <c r="G27" s="134" t="s">
        <v>119</v>
      </c>
      <c r="H27" s="135"/>
      <c r="I27" s="134" t="s">
        <v>24</v>
      </c>
      <c r="J27" s="136"/>
    </row>
    <row r="28" spans="1:12" ht="38.25" x14ac:dyDescent="0.25">
      <c r="A28" s="9" t="s">
        <v>25</v>
      </c>
      <c r="B28" s="10" t="s">
        <v>26</v>
      </c>
      <c r="C28" s="10" t="s">
        <v>38</v>
      </c>
      <c r="D28" s="10" t="s">
        <v>39</v>
      </c>
      <c r="E28" s="88" t="s">
        <v>41</v>
      </c>
      <c r="F28" s="88" t="s">
        <v>42</v>
      </c>
      <c r="G28" s="10" t="s">
        <v>43</v>
      </c>
      <c r="H28" s="10" t="s">
        <v>44</v>
      </c>
      <c r="I28" s="10" t="s">
        <v>45</v>
      </c>
      <c r="J28" s="11" t="s">
        <v>46</v>
      </c>
      <c r="K28" s="71" t="s">
        <v>106</v>
      </c>
      <c r="L28" s="73" t="s">
        <v>107</v>
      </c>
    </row>
    <row r="29" spans="1:12" ht="63" customHeight="1" x14ac:dyDescent="0.25">
      <c r="A29" s="12" t="s">
        <v>75</v>
      </c>
      <c r="B29" s="33" t="s">
        <v>65</v>
      </c>
      <c r="C29" s="39">
        <v>475000</v>
      </c>
      <c r="D29" s="89">
        <v>421888104.16000003</v>
      </c>
      <c r="E29" s="76">
        <v>475000</v>
      </c>
      <c r="F29" s="101">
        <f>100087848.46+92587848.62</f>
        <v>192675697.07999998</v>
      </c>
      <c r="G29" s="72">
        <v>419555</v>
      </c>
      <c r="H29" s="13">
        <f>38899376.23+K34</f>
        <v>76388314.030000001</v>
      </c>
      <c r="I29" s="14">
        <f>IF(G29&gt;0,G29/E29,0)</f>
        <v>0.88327368421052632</v>
      </c>
      <c r="J29" s="36">
        <f>IF(H29&gt;0,H29/F29,0)</f>
        <v>0.39646055619709614</v>
      </c>
      <c r="K29" s="72">
        <f>+Tabla134[[#This Row],[Física 
(E)]]-Tabla134[[#Headers],[ 417,518.00 ]]</f>
        <v>2037</v>
      </c>
      <c r="L29" s="54">
        <f>+Tabla134[[#Headers],[ 417,518.00 ]]-Tabla134[[#This Row],[ 417,518.00 ]]</f>
        <v>415481</v>
      </c>
    </row>
    <row r="30" spans="1:12" ht="15.75" x14ac:dyDescent="0.25">
      <c r="A30" s="107" t="s">
        <v>27</v>
      </c>
      <c r="B30" s="108"/>
      <c r="C30" s="108"/>
      <c r="D30" s="108"/>
      <c r="E30" s="108"/>
      <c r="F30" s="108"/>
      <c r="G30" s="108"/>
      <c r="H30" s="108"/>
      <c r="I30" s="108"/>
      <c r="J30" s="109"/>
      <c r="K30" s="75">
        <f>SUM(K26:K29)</f>
        <v>2037</v>
      </c>
    </row>
    <row r="31" spans="1:12" ht="15.75" x14ac:dyDescent="0.25">
      <c r="A31" s="119" t="s">
        <v>28</v>
      </c>
      <c r="B31" s="120"/>
      <c r="C31" s="120"/>
      <c r="D31" s="120"/>
      <c r="E31" s="120"/>
      <c r="F31" s="120"/>
      <c r="G31" s="120"/>
      <c r="H31" s="120"/>
      <c r="I31" s="120"/>
      <c r="J31" s="121"/>
      <c r="K31" s="47">
        <f>+Tabla134[[#Headers],[ 417,518.00 ]]-417332</f>
        <v>186</v>
      </c>
      <c r="L31" s="34"/>
    </row>
    <row r="32" spans="1:12" x14ac:dyDescent="0.25">
      <c r="A32" s="16" t="s">
        <v>29</v>
      </c>
      <c r="B32" s="126" t="s">
        <v>87</v>
      </c>
      <c r="C32" s="126"/>
      <c r="D32" s="126"/>
      <c r="E32" s="126"/>
      <c r="F32" s="126"/>
      <c r="G32" s="126"/>
      <c r="H32" s="126"/>
      <c r="I32" s="126"/>
      <c r="J32" s="127"/>
      <c r="K32" s="34"/>
    </row>
    <row r="33" spans="1:13" x14ac:dyDescent="0.25">
      <c r="A33" s="16" t="s">
        <v>30</v>
      </c>
      <c r="B33" s="117" t="s">
        <v>66</v>
      </c>
      <c r="C33" s="117"/>
      <c r="D33" s="117"/>
      <c r="E33" s="117"/>
      <c r="F33" s="117"/>
      <c r="G33" s="117"/>
      <c r="H33" s="117"/>
      <c r="I33" s="117"/>
      <c r="J33" s="118"/>
      <c r="K33">
        <v>85172306.760000005</v>
      </c>
    </row>
    <row r="34" spans="1:13" ht="70.5" customHeight="1" x14ac:dyDescent="0.25">
      <c r="A34" s="16" t="s">
        <v>31</v>
      </c>
      <c r="B34" s="126" t="s">
        <v>127</v>
      </c>
      <c r="C34" s="126"/>
      <c r="D34" s="126"/>
      <c r="E34" s="126"/>
      <c r="F34" s="126"/>
      <c r="G34" s="126"/>
      <c r="H34" s="126"/>
      <c r="I34" s="126"/>
      <c r="J34" s="127"/>
      <c r="K34" cm="1">
        <f t="array" ref="K34">+[2]!Tabla134[Financiera 
 (F)]</f>
        <v>37488937.800000004</v>
      </c>
      <c r="L34" s="99">
        <v>417332</v>
      </c>
    </row>
    <row r="35" spans="1:13" ht="48.75" customHeight="1" x14ac:dyDescent="0.25">
      <c r="A35" s="16" t="s">
        <v>32</v>
      </c>
      <c r="B35" s="126" t="s">
        <v>128</v>
      </c>
      <c r="C35" s="126"/>
      <c r="D35" s="126"/>
      <c r="E35" s="126"/>
      <c r="F35" s="126"/>
      <c r="G35" s="126"/>
      <c r="H35" s="126"/>
      <c r="I35" s="126"/>
      <c r="J35" s="127"/>
      <c r="K35">
        <v>38899376.229999997</v>
      </c>
      <c r="L35" s="47" cm="1">
        <f t="array" ref="L35">+Tabla134[Física 
(E)]-L34</f>
        <v>2223</v>
      </c>
    </row>
    <row r="36" spans="1:13" ht="15.75" x14ac:dyDescent="0.25">
      <c r="A36" s="107" t="s">
        <v>33</v>
      </c>
      <c r="B36" s="108"/>
      <c r="C36" s="108"/>
      <c r="D36" s="108"/>
      <c r="E36" s="108"/>
      <c r="F36" s="108"/>
      <c r="G36" s="108"/>
      <c r="H36" s="108"/>
      <c r="I36" s="108"/>
      <c r="J36" s="109"/>
      <c r="L36">
        <f>8+6+7+11</f>
        <v>32</v>
      </c>
    </row>
    <row r="37" spans="1:13" ht="15.75" x14ac:dyDescent="0.25">
      <c r="A37" s="110" t="s">
        <v>34</v>
      </c>
      <c r="B37" s="111"/>
      <c r="C37" s="111"/>
      <c r="D37" s="111"/>
      <c r="E37" s="111"/>
      <c r="F37" s="111"/>
      <c r="G37" s="111"/>
      <c r="H37" s="111"/>
      <c r="I37" s="111"/>
      <c r="J37" s="112"/>
      <c r="K37">
        <f>43+7</f>
        <v>50</v>
      </c>
      <c r="L37">
        <f>+L36/4</f>
        <v>8</v>
      </c>
    </row>
    <row r="38" spans="1:13" ht="12" customHeight="1" x14ac:dyDescent="0.25">
      <c r="A38" s="165"/>
      <c r="B38" s="166"/>
      <c r="C38" s="166"/>
      <c r="D38" s="166"/>
      <c r="E38" s="166"/>
      <c r="F38" s="166"/>
      <c r="G38" s="166"/>
      <c r="H38" s="166"/>
      <c r="I38" s="166"/>
      <c r="J38" s="167"/>
      <c r="K38">
        <f>+K37*3</f>
        <v>150</v>
      </c>
      <c r="L38" t="s">
        <v>111</v>
      </c>
      <c r="M38">
        <f>7.5*30</f>
        <v>225</v>
      </c>
    </row>
    <row r="39" spans="1:13" ht="19.5" customHeight="1" x14ac:dyDescent="0.25">
      <c r="A39" s="22"/>
      <c r="B39" s="22"/>
      <c r="C39" s="22"/>
      <c r="D39" s="22"/>
      <c r="E39" s="22"/>
      <c r="F39" s="22"/>
      <c r="G39" s="22"/>
      <c r="H39" s="22"/>
      <c r="I39" s="22"/>
      <c r="J39" s="22"/>
      <c r="K39">
        <f>43+193</f>
        <v>236</v>
      </c>
      <c r="L39" s="34">
        <f>53/55</f>
        <v>0.96363636363636362</v>
      </c>
    </row>
    <row r="40" spans="1:13" ht="18" customHeight="1" x14ac:dyDescent="0.25">
      <c r="A40" s="116" t="s">
        <v>40</v>
      </c>
      <c r="B40" s="116"/>
      <c r="C40" s="116"/>
      <c r="D40" s="116"/>
      <c r="E40" s="116"/>
      <c r="F40" s="116"/>
      <c r="G40" s="116"/>
      <c r="H40" s="116"/>
      <c r="I40" s="116"/>
      <c r="J40" s="116"/>
    </row>
    <row r="41" spans="1:13" ht="17.25" customHeight="1" x14ac:dyDescent="0.25">
      <c r="A41" s="49" t="s">
        <v>89</v>
      </c>
      <c r="B41" s="50">
        <f>+A25</f>
        <v>400351394</v>
      </c>
    </row>
    <row r="42" spans="1:13" ht="12.75" customHeight="1" x14ac:dyDescent="0.25">
      <c r="A42" s="49" t="s">
        <v>90</v>
      </c>
      <c r="B42" s="50">
        <f>+C25</f>
        <v>421888104.16000003</v>
      </c>
      <c r="G42" s="156"/>
      <c r="H42" s="156"/>
      <c r="I42" s="156"/>
      <c r="J42" s="156"/>
    </row>
    <row r="43" spans="1:13" x14ac:dyDescent="0.25">
      <c r="A43" s="49" t="s">
        <v>91</v>
      </c>
      <c r="B43" s="50">
        <f>+F25</f>
        <v>161560620.78999999</v>
      </c>
      <c r="G43" s="157"/>
      <c r="H43" s="157"/>
      <c r="I43" s="157"/>
      <c r="J43" s="157"/>
    </row>
    <row r="44" spans="1:13" x14ac:dyDescent="0.25">
      <c r="A44" s="66"/>
      <c r="B44" s="66"/>
      <c r="C44" s="66"/>
      <c r="D44" s="66"/>
      <c r="G44" s="157"/>
      <c r="H44" s="157"/>
      <c r="I44" s="157"/>
      <c r="J44" s="157"/>
    </row>
    <row r="45" spans="1:13" ht="9.75" customHeight="1" x14ac:dyDescent="0.25">
      <c r="A45" s="58"/>
      <c r="B45" s="58"/>
      <c r="C45" s="58"/>
      <c r="D45" s="58"/>
      <c r="G45" s="57"/>
      <c r="H45" s="57"/>
      <c r="I45" s="57"/>
      <c r="J45" s="57"/>
    </row>
    <row r="46" spans="1:13" ht="12.75" customHeight="1" x14ac:dyDescent="0.25">
      <c r="A46" s="57" t="s">
        <v>99</v>
      </c>
      <c r="B46" s="58"/>
      <c r="C46" s="157" t="s">
        <v>100</v>
      </c>
      <c r="D46" s="157"/>
      <c r="E46" s="157"/>
      <c r="G46" s="157" t="s">
        <v>101</v>
      </c>
      <c r="H46" s="157"/>
      <c r="I46" s="157"/>
      <c r="J46" s="157"/>
    </row>
    <row r="48" spans="1:13" ht="15.75" thickBot="1" x14ac:dyDescent="0.3">
      <c r="A48" s="56"/>
      <c r="B48" s="59"/>
      <c r="C48" s="164"/>
      <c r="D48" s="164"/>
      <c r="E48" s="164"/>
    </row>
    <row r="49" spans="1:10" x14ac:dyDescent="0.25">
      <c r="A49" s="59" t="s">
        <v>98</v>
      </c>
      <c r="C49" s="156" t="s">
        <v>102</v>
      </c>
      <c r="D49" s="156"/>
      <c r="E49" s="156"/>
      <c r="G49" s="171" t="s">
        <v>92</v>
      </c>
      <c r="H49" s="171"/>
      <c r="I49" s="171"/>
      <c r="J49" s="171"/>
    </row>
    <row r="50" spans="1:10" x14ac:dyDescent="0.25">
      <c r="A50" s="59" t="s">
        <v>103</v>
      </c>
      <c r="C50" s="156" t="s">
        <v>104</v>
      </c>
      <c r="D50" s="156"/>
      <c r="E50" s="156"/>
      <c r="G50" s="156" t="s">
        <v>93</v>
      </c>
      <c r="H50" s="156"/>
      <c r="I50" s="156"/>
      <c r="J50" s="156"/>
    </row>
    <row r="573" spans="5:5" x14ac:dyDescent="0.25">
      <c r="E573" s="5">
        <f>+E561+E542+E503+E441+E404</f>
        <v>0</v>
      </c>
    </row>
    <row r="743" spans="7:7" x14ac:dyDescent="0.25">
      <c r="G743" s="5">
        <f>+G714+G696+G676+G673+G667+G647+G639+G636+G633+G630+G624+G612+G606+G599+G596+G575</f>
        <v>0</v>
      </c>
    </row>
  </sheetData>
  <mergeCells count="57">
    <mergeCell ref="C50:E50"/>
    <mergeCell ref="G50:J50"/>
    <mergeCell ref="C46:E46"/>
    <mergeCell ref="G46:J46"/>
    <mergeCell ref="C48:E48"/>
    <mergeCell ref="C49:E49"/>
    <mergeCell ref="G49:J49"/>
    <mergeCell ref="G42:J42"/>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0:J30"/>
    <mergeCell ref="A23:J23"/>
    <mergeCell ref="A24:B24"/>
    <mergeCell ref="C24:E24"/>
    <mergeCell ref="F24:H24"/>
    <mergeCell ref="I24:J24"/>
    <mergeCell ref="C25:E25"/>
    <mergeCell ref="F25:H25"/>
    <mergeCell ref="I25:J25"/>
    <mergeCell ref="A26:J26"/>
    <mergeCell ref="C27:D27"/>
    <mergeCell ref="E27:F27"/>
    <mergeCell ref="G27:H27"/>
    <mergeCell ref="I27:J27"/>
    <mergeCell ref="A37:J37"/>
    <mergeCell ref="A38:J38"/>
    <mergeCell ref="A40:J40"/>
    <mergeCell ref="A31:J31"/>
    <mergeCell ref="B32:J32"/>
    <mergeCell ref="B33:J33"/>
    <mergeCell ref="B34:J34"/>
    <mergeCell ref="B35:J35"/>
    <mergeCell ref="A36:J36"/>
  </mergeCells>
  <phoneticPr fontId="23" type="noConversion"/>
  <dataValidations xWindow="812" yWindow="687" count="16">
    <dataValidation allowBlank="1" showInputMessage="1" showErrorMessage="1" prompt="Monto ejecutado en el trimestre" sqref="H28:H29" xr:uid="{7F22632E-6BB1-4388-80CF-18C681D43A06}"/>
    <dataValidation allowBlank="1" showInputMessage="1" showErrorMessage="1" prompt="Meta alcanzada en el trimestre" sqref="G28" xr:uid="{FBE0F0A0-C9F1-46D1-B77E-CE73B5DB741C}"/>
    <dataValidation allowBlank="1" showInputMessage="1" showErrorMessage="1" prompt="Monto presupuestado para el producto" sqref="B41:B42 D28 F28" xr:uid="{661DBA64-9914-4ACC-88F3-B3FC2BE0F23B}"/>
    <dataValidation allowBlank="1" showInputMessage="1" showErrorMessage="1" prompt="Meta anual del indicador" sqref="E28:E29 C28:C29"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58FB1474-A67B-416C-B081-7A83A41848E2}"/>
    <dataValidation allowBlank="1" showInputMessage="1" showErrorMessage="1" prompt="1. Describir lo plasmado en el presupuesto_x000a_2. Describir lo alcanzado en términos financieros y de producción " sqref="B34:J34" xr:uid="{EACB18C3-E318-4A6B-BD71-C44C1AF6BFD1}"/>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37" right="0.25" top="0.75" bottom="0.75" header="0.3" footer="0.3"/>
  <pageSetup scale="68" fitToHeight="0" orientation="portrait" r:id="rId1"/>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Albuerne</cp:lastModifiedBy>
  <cp:lastPrinted>2025-02-26T13:16:21Z</cp:lastPrinted>
  <dcterms:created xsi:type="dcterms:W3CDTF">2021-03-22T15:50:10Z</dcterms:created>
  <dcterms:modified xsi:type="dcterms:W3CDTF">2025-02-26T13:20:39Z</dcterms:modified>
</cp:coreProperties>
</file>