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tables/table9.xml" ContentType="application/vnd.openxmlformats-officedocument.spreadsheetml.table+xml"/>
  <Override PartName="/xl/drawings/drawing2.xml" ContentType="application/vnd.openxmlformats-officedocument.drawing+xml"/>
  <Override PartName="/xl/comments6.xml" ContentType="application/vnd.openxmlformats-officedocument.spreadsheetml.comments+xml"/>
  <Override PartName="/xl/threadedComments/threadedComment2.xml" ContentType="application/vnd.ms-excel.threaded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threadedComments/threadedComment3.xml" ContentType="application/vnd.ms-excel.threadedcomment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10.xml" ContentType="application/vnd.openxmlformats-officedocument.spreadsheetml.table+xml"/>
  <Override PartName="/xl/comments8.xml" ContentType="application/vnd.openxmlformats-officedocument.spreadsheetml.comments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Direccion de Planificacion\PPP\Informes estadisticos\informes excel\Indicadores 2025\"/>
    </mc:Choice>
  </mc:AlternateContent>
  <xr:revisionPtr revIDLastSave="0" documentId="13_ncr:1_{E769FC92-4B9D-442A-B3A3-6523C153077C}" xr6:coauthVersionLast="47" xr6:coauthVersionMax="47" xr10:uidLastSave="{00000000-0000-0000-0000-000000000000}"/>
  <bookViews>
    <workbookView xWindow="-105" yWindow="0" windowWidth="10455" windowHeight="10905" firstSheet="14" activeTab="16" xr2:uid="{8DBBEA15-C7FD-4C96-86B8-979A09AADE9A}"/>
  </bookViews>
  <sheets>
    <sheet name="FACTURACION" sheetId="21" r:id="rId1"/>
    <sheet name="Facturación 23-25" sheetId="22" r:id="rId2"/>
    <sheet name="Facturación con mora" sheetId="28" r:id="rId3"/>
    <sheet name="Recaudación 23-25" sheetId="5" r:id="rId4"/>
    <sheet name="Clientes agua 23-25" sheetId="2" r:id="rId5"/>
    <sheet name="Clientes alcantarillado 23-25" sheetId="8" r:id="rId6"/>
    <sheet name="Resumen Clientes " sheetId="10" r:id="rId7"/>
    <sheet name="UNIDADES AGUA 23 23-25" sheetId="3" r:id="rId8"/>
    <sheet name="UNIDADES ALCANTARILLADO 23-25" sheetId="9" r:id="rId9"/>
    <sheet name="Resumen comercial" sheetId="6" r:id="rId10"/>
    <sheet name="Consumo de agua x tipo cliente " sheetId="4" r:id="rId11"/>
    <sheet name="produccion m3 por seg-MENSUAL" sheetId="7" r:id="rId12"/>
    <sheet name="Prod M3" sheetId="11" r:id="rId13"/>
    <sheet name="Producción MG" sheetId="12" r:id="rId14"/>
    <sheet name="Producción MGD" sheetId="13" r:id="rId15"/>
    <sheet name="Laboratorio" sheetId="14" r:id="rId16"/>
    <sheet name="LABORATORIO POR GENERO" sheetId="29" r:id="rId17"/>
    <sheet name="Aguas Residuales Domésticas Rec" sheetId="15" r:id="rId18"/>
    <sheet name="cobertura de alcantarillado san" sheetId="16" r:id="rId19"/>
    <sheet name="pLANTAS DE TRATAMIENTO" sheetId="17" r:id="rId20"/>
    <sheet name="INDICADORES CAASD" sheetId="23" r:id="rId21"/>
    <sheet name="Hoja3" sheetId="25" r:id="rId22"/>
  </sheets>
  <externalReferences>
    <externalReference r:id="rId23"/>
    <externalReference r:id="rId2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3" l="1"/>
  <c r="I7" i="23"/>
  <c r="H6" i="23"/>
  <c r="I6" i="23"/>
  <c r="H5" i="23"/>
  <c r="I5" i="23"/>
  <c r="I4" i="23"/>
  <c r="H44" i="13"/>
  <c r="H14" i="11" l="1"/>
  <c r="I14" i="13"/>
  <c r="I15" i="13"/>
  <c r="I16" i="13"/>
  <c r="H16" i="13"/>
  <c r="H14" i="13"/>
  <c r="H15" i="13"/>
  <c r="F14" i="13"/>
  <c r="F15" i="13"/>
  <c r="F16" i="13"/>
  <c r="E14" i="13"/>
  <c r="E15" i="13"/>
  <c r="E16" i="13"/>
  <c r="D14" i="13"/>
  <c r="D15" i="13"/>
  <c r="D16" i="13"/>
  <c r="G14" i="13"/>
  <c r="G15" i="13"/>
  <c r="G16" i="13"/>
  <c r="C62" i="11"/>
  <c r="G62" i="11"/>
  <c r="G61" i="11"/>
  <c r="F62" i="11"/>
  <c r="E62" i="11"/>
  <c r="H16" i="11"/>
  <c r="G16" i="11"/>
  <c r="H12" i="12"/>
  <c r="I12" i="12"/>
  <c r="G12" i="12"/>
  <c r="P11" i="5" l="1"/>
  <c r="R11" i="28"/>
  <c r="Q11" i="28"/>
  <c r="O19" i="3"/>
  <c r="O7" i="3" s="1"/>
  <c r="O8" i="3"/>
  <c r="O9" i="3"/>
  <c r="O10" i="3"/>
  <c r="O11" i="3"/>
  <c r="N10" i="3"/>
  <c r="O17" i="3"/>
  <c r="N17" i="3"/>
  <c r="N19" i="3" s="1"/>
  <c r="O16" i="3"/>
  <c r="N16" i="3"/>
  <c r="O15" i="3"/>
  <c r="N15" i="3"/>
  <c r="O14" i="3"/>
  <c r="N14" i="3"/>
  <c r="O13" i="3"/>
  <c r="N13" i="3"/>
  <c r="N11" i="3" l="1"/>
  <c r="N9" i="3"/>
  <c r="N8" i="3"/>
  <c r="N7" i="3"/>
  <c r="AD12" i="6"/>
  <c r="AD10" i="6"/>
  <c r="AD11" i="6"/>
  <c r="C12" i="6" l="1"/>
  <c r="N11" i="8"/>
  <c r="O11" i="2"/>
  <c r="N11" i="2"/>
  <c r="D12" i="13" l="1"/>
  <c r="H12" i="13"/>
  <c r="O10" i="5" l="1"/>
  <c r="C35" i="10" l="1"/>
  <c r="D35" i="10"/>
  <c r="E12" i="12"/>
  <c r="D12" i="12"/>
  <c r="F12" i="12"/>
  <c r="L11" i="6"/>
  <c r="C11" i="6" l="1"/>
  <c r="N10" i="8"/>
  <c r="O10" i="2"/>
  <c r="N10" i="2"/>
  <c r="B8" i="21"/>
  <c r="B9" i="21"/>
  <c r="B10" i="21"/>
  <c r="E22" i="3" l="1"/>
  <c r="M28" i="11"/>
  <c r="L21" i="11"/>
  <c r="L16" i="11"/>
  <c r="K16" i="11"/>
  <c r="F9" i="11"/>
  <c r="G10" i="11"/>
  <c r="G29" i="11"/>
  <c r="H29" i="11"/>
  <c r="I29" i="11"/>
  <c r="I37" i="11" s="1"/>
  <c r="I39" i="11" s="1"/>
  <c r="J29" i="11"/>
  <c r="J37" i="11" s="1"/>
  <c r="J39" i="11" s="1"/>
  <c r="K29" i="11"/>
  <c r="K37" i="11" s="1"/>
  <c r="K39" i="11" s="1"/>
  <c r="L29" i="11"/>
  <c r="L37" i="11" s="1"/>
  <c r="M29" i="11"/>
  <c r="M37" i="11" s="1"/>
  <c r="N29" i="11"/>
  <c r="N37" i="11" s="1"/>
  <c r="G30" i="11"/>
  <c r="H30" i="11"/>
  <c r="I30" i="11"/>
  <c r="J30" i="11"/>
  <c r="K30" i="11"/>
  <c r="L30" i="11"/>
  <c r="M30" i="11"/>
  <c r="N30" i="11"/>
  <c r="G31" i="11"/>
  <c r="H31" i="11"/>
  <c r="I31" i="11"/>
  <c r="J31" i="11"/>
  <c r="K31" i="11"/>
  <c r="L31" i="11"/>
  <c r="M31" i="11"/>
  <c r="N31" i="11"/>
  <c r="G32" i="11"/>
  <c r="H32" i="11"/>
  <c r="I32" i="11"/>
  <c r="J32" i="11"/>
  <c r="K32" i="11"/>
  <c r="L32" i="11"/>
  <c r="M32" i="11"/>
  <c r="N32" i="11"/>
  <c r="G33" i="11"/>
  <c r="H33" i="11"/>
  <c r="I33" i="11"/>
  <c r="J33" i="11"/>
  <c r="K33" i="11"/>
  <c r="L33" i="11"/>
  <c r="M33" i="11"/>
  <c r="N33" i="11"/>
  <c r="G34" i="11"/>
  <c r="H34" i="11"/>
  <c r="I34" i="11"/>
  <c r="J34" i="11"/>
  <c r="K34" i="11"/>
  <c r="L34" i="11"/>
  <c r="M34" i="11"/>
  <c r="N34" i="11"/>
  <c r="G35" i="11"/>
  <c r="H35" i="11"/>
  <c r="I35" i="11"/>
  <c r="J35" i="11"/>
  <c r="K35" i="11"/>
  <c r="L35" i="11"/>
  <c r="M35" i="11"/>
  <c r="N35" i="11"/>
  <c r="G36" i="11"/>
  <c r="H36" i="11"/>
  <c r="I36" i="11"/>
  <c r="J36" i="11"/>
  <c r="K36" i="11"/>
  <c r="L36" i="11"/>
  <c r="M36" i="11"/>
  <c r="N36" i="11"/>
  <c r="G22" i="11"/>
  <c r="H22" i="11"/>
  <c r="I22" i="11"/>
  <c r="I28" i="11" s="1"/>
  <c r="J22" i="11"/>
  <c r="J28" i="11" s="1"/>
  <c r="K22" i="11"/>
  <c r="K28" i="11" s="1"/>
  <c r="L22" i="11"/>
  <c r="L28" i="11" s="1"/>
  <c r="M22" i="11"/>
  <c r="N22" i="11"/>
  <c r="G23" i="11"/>
  <c r="H23" i="11"/>
  <c r="I23" i="11"/>
  <c r="J23" i="11"/>
  <c r="K23" i="11"/>
  <c r="L23" i="11"/>
  <c r="M23" i="11"/>
  <c r="N23" i="11"/>
  <c r="N28" i="11" s="1"/>
  <c r="G24" i="11"/>
  <c r="H24" i="11"/>
  <c r="I24" i="11"/>
  <c r="J24" i="11"/>
  <c r="K24" i="11"/>
  <c r="L24" i="11"/>
  <c r="M24" i="11"/>
  <c r="N24" i="11"/>
  <c r="G25" i="11"/>
  <c r="H25" i="11"/>
  <c r="I25" i="11"/>
  <c r="J25" i="11"/>
  <c r="K25" i="11"/>
  <c r="L25" i="11"/>
  <c r="M25" i="11"/>
  <c r="N25" i="11"/>
  <c r="G26" i="11"/>
  <c r="H26" i="11"/>
  <c r="I26" i="11"/>
  <c r="J26" i="11"/>
  <c r="K26" i="11"/>
  <c r="L26" i="11"/>
  <c r="M26" i="11"/>
  <c r="N26" i="11"/>
  <c r="G27" i="11"/>
  <c r="H27" i="11"/>
  <c r="I27" i="11"/>
  <c r="J27" i="11"/>
  <c r="K27" i="11"/>
  <c r="L27" i="11"/>
  <c r="M27" i="11"/>
  <c r="N27" i="11"/>
  <c r="F23" i="11"/>
  <c r="G17" i="11"/>
  <c r="H17" i="11"/>
  <c r="I17" i="11"/>
  <c r="I21" i="11" s="1"/>
  <c r="J17" i="11"/>
  <c r="J21" i="11" s="1"/>
  <c r="K17" i="11"/>
  <c r="K21" i="11" s="1"/>
  <c r="L17" i="11"/>
  <c r="M17" i="11"/>
  <c r="N17" i="11"/>
  <c r="G18" i="11"/>
  <c r="H18" i="11"/>
  <c r="I18" i="11"/>
  <c r="J18" i="11"/>
  <c r="K18" i="11"/>
  <c r="L18" i="11"/>
  <c r="M18" i="11"/>
  <c r="M21" i="11" s="1"/>
  <c r="N18" i="11"/>
  <c r="N21" i="11" s="1"/>
  <c r="G19" i="11"/>
  <c r="H19" i="11"/>
  <c r="I19" i="11"/>
  <c r="J19" i="11"/>
  <c r="K19" i="11"/>
  <c r="L19" i="11"/>
  <c r="M19" i="11"/>
  <c r="N19" i="11"/>
  <c r="G20" i="11"/>
  <c r="H20" i="11"/>
  <c r="I20" i="11"/>
  <c r="J20" i="11"/>
  <c r="K20" i="11"/>
  <c r="L20" i="11"/>
  <c r="M20" i="11"/>
  <c r="N20" i="11"/>
  <c r="G15" i="11"/>
  <c r="H15" i="11"/>
  <c r="I15" i="11"/>
  <c r="J15" i="11"/>
  <c r="K15" i="11"/>
  <c r="L15" i="11"/>
  <c r="M15" i="11"/>
  <c r="N15" i="11"/>
  <c r="G14" i="11"/>
  <c r="I14" i="11"/>
  <c r="J14" i="11"/>
  <c r="K14" i="11"/>
  <c r="L14" i="11"/>
  <c r="M14" i="11"/>
  <c r="N14" i="11"/>
  <c r="G13" i="11"/>
  <c r="H13" i="11"/>
  <c r="I13" i="11"/>
  <c r="J13" i="11"/>
  <c r="K13" i="11"/>
  <c r="L13" i="11"/>
  <c r="M13" i="11"/>
  <c r="N13" i="11"/>
  <c r="G11" i="11"/>
  <c r="H11" i="11"/>
  <c r="I11" i="11"/>
  <c r="J11" i="11"/>
  <c r="K11" i="11"/>
  <c r="L11" i="11"/>
  <c r="M11" i="11"/>
  <c r="M16" i="11" s="1"/>
  <c r="N11" i="11"/>
  <c r="N16" i="11" s="1"/>
  <c r="H10" i="11"/>
  <c r="I10" i="11"/>
  <c r="I16" i="11" s="1"/>
  <c r="J10" i="11"/>
  <c r="J16" i="11" s="1"/>
  <c r="K10" i="11"/>
  <c r="L10" i="11"/>
  <c r="M10" i="11"/>
  <c r="N10" i="11"/>
  <c r="G9" i="11"/>
  <c r="E61" i="11" s="1"/>
  <c r="H9" i="11"/>
  <c r="I9" i="11"/>
  <c r="J9" i="11"/>
  <c r="K9" i="11"/>
  <c r="L9" i="11"/>
  <c r="M9" i="11"/>
  <c r="N9" i="11"/>
  <c r="C17" i="12"/>
  <c r="L39" i="11" l="1"/>
  <c r="H37" i="11"/>
  <c r="H21" i="11"/>
  <c r="H28" i="11"/>
  <c r="G37" i="11"/>
  <c r="N39" i="11"/>
  <c r="M39" i="11"/>
  <c r="F61" i="11"/>
  <c r="G21" i="11" s="1"/>
  <c r="C61" i="11"/>
  <c r="G28" i="11" s="1"/>
  <c r="F36" i="11"/>
  <c r="E36" i="11"/>
  <c r="D36" i="11"/>
  <c r="C36" i="11"/>
  <c r="F35" i="11"/>
  <c r="E35" i="11"/>
  <c r="D35" i="11"/>
  <c r="C35" i="11"/>
  <c r="F34" i="11"/>
  <c r="E34" i="11"/>
  <c r="D34" i="11"/>
  <c r="C34" i="11"/>
  <c r="F33" i="11"/>
  <c r="E33" i="11"/>
  <c r="D33" i="11"/>
  <c r="C33" i="11"/>
  <c r="F32" i="11"/>
  <c r="E32" i="11"/>
  <c r="D32" i="11"/>
  <c r="C32" i="11"/>
  <c r="F31" i="11"/>
  <c r="E31" i="11"/>
  <c r="D31" i="11"/>
  <c r="C31" i="11"/>
  <c r="F30" i="11"/>
  <c r="E30" i="11"/>
  <c r="D30" i="11"/>
  <c r="C30" i="11"/>
  <c r="F29" i="11"/>
  <c r="E29" i="11"/>
  <c r="D29" i="11"/>
  <c r="C29" i="11"/>
  <c r="F27" i="11"/>
  <c r="E27" i="11"/>
  <c r="D27" i="11"/>
  <c r="C27" i="11"/>
  <c r="F26" i="11"/>
  <c r="E26" i="11"/>
  <c r="D26" i="11"/>
  <c r="C26" i="11"/>
  <c r="F25" i="11"/>
  <c r="E25" i="11"/>
  <c r="D25" i="11"/>
  <c r="C25" i="11"/>
  <c r="F24" i="11"/>
  <c r="E24" i="11"/>
  <c r="D24" i="11"/>
  <c r="C24" i="11"/>
  <c r="E23" i="11"/>
  <c r="D23" i="11"/>
  <c r="C23" i="11"/>
  <c r="F22" i="11"/>
  <c r="E22" i="11"/>
  <c r="D22" i="11"/>
  <c r="C22" i="11"/>
  <c r="F20" i="11"/>
  <c r="E20" i="11"/>
  <c r="D20" i="11"/>
  <c r="C20" i="11"/>
  <c r="F19" i="11"/>
  <c r="E19" i="11"/>
  <c r="D19" i="11"/>
  <c r="C19" i="11"/>
  <c r="F18" i="11"/>
  <c r="E18" i="11"/>
  <c r="D18" i="11"/>
  <c r="C18" i="11"/>
  <c r="F17" i="11"/>
  <c r="E17" i="11"/>
  <c r="D17" i="11"/>
  <c r="C17" i="11"/>
  <c r="F15" i="11"/>
  <c r="E15" i="11"/>
  <c r="D15" i="11"/>
  <c r="C15" i="11"/>
  <c r="F14" i="11"/>
  <c r="E14" i="11"/>
  <c r="D14" i="11"/>
  <c r="C14" i="11"/>
  <c r="F13" i="11"/>
  <c r="E13" i="11"/>
  <c r="D13" i="11"/>
  <c r="C13" i="11"/>
  <c r="F12" i="11"/>
  <c r="E12" i="11"/>
  <c r="D12" i="11"/>
  <c r="C12" i="11"/>
  <c r="F11" i="11"/>
  <c r="E11" i="11"/>
  <c r="D11" i="11"/>
  <c r="C11" i="11"/>
  <c r="F10" i="11"/>
  <c r="E10" i="11"/>
  <c r="D10" i="11"/>
  <c r="C10" i="11"/>
  <c r="E9" i="11"/>
  <c r="D9" i="11"/>
  <c r="C9" i="11"/>
  <c r="F57" i="11" s="1"/>
  <c r="D145" i="13"/>
  <c r="D144" i="13"/>
  <c r="D141" i="13"/>
  <c r="D140" i="13"/>
  <c r="G145" i="13"/>
  <c r="F146" i="13"/>
  <c r="F144" i="13"/>
  <c r="F140" i="13"/>
  <c r="F145" i="13"/>
  <c r="F141" i="13"/>
  <c r="H39" i="11" l="1"/>
  <c r="G39" i="11"/>
  <c r="D37" i="11"/>
  <c r="C21" i="11"/>
  <c r="D21" i="11"/>
  <c r="E16" i="11"/>
  <c r="C37" i="11"/>
  <c r="E37" i="11"/>
  <c r="C16" i="11"/>
  <c r="D16" i="11"/>
  <c r="C28" i="11"/>
  <c r="F37" i="11"/>
  <c r="D59" i="11"/>
  <c r="F59" i="11"/>
  <c r="E21" i="11" s="1"/>
  <c r="C59" i="11"/>
  <c r="E28" i="11" s="1"/>
  <c r="F60" i="11"/>
  <c r="F21" i="11" s="1"/>
  <c r="E60" i="11"/>
  <c r="F16" i="11" s="1"/>
  <c r="C60" i="11"/>
  <c r="G60" i="11" s="1"/>
  <c r="C58" i="11"/>
  <c r="D28" i="11" s="1"/>
  <c r="D57" i="11"/>
  <c r="G57" i="11" s="1"/>
  <c r="F58" i="11"/>
  <c r="C57" i="11"/>
  <c r="E57" i="11"/>
  <c r="E59" i="11"/>
  <c r="D58" i="11"/>
  <c r="E58" i="11"/>
  <c r="E39" i="11" l="1"/>
  <c r="G58" i="11"/>
  <c r="D39" i="11"/>
  <c r="C39" i="11"/>
  <c r="F28" i="11"/>
  <c r="F39" i="11" s="1"/>
  <c r="G59" i="11"/>
  <c r="AN10" i="6" l="1"/>
  <c r="AO8" i="6" l="1"/>
  <c r="AA10" i="6"/>
  <c r="AA9" i="6"/>
  <c r="AA8" i="6"/>
  <c r="N10" i="6"/>
  <c r="N9" i="6"/>
  <c r="N8" i="6"/>
  <c r="AM10" i="6"/>
  <c r="AM13" i="6"/>
  <c r="AM14" i="6"/>
  <c r="AM15" i="6"/>
  <c r="AM16" i="6"/>
  <c r="AM17" i="6"/>
  <c r="AM18" i="6"/>
  <c r="AK10" i="6"/>
  <c r="AK11" i="6"/>
  <c r="AK13" i="6"/>
  <c r="AK14" i="6"/>
  <c r="AK15" i="6"/>
  <c r="AK16" i="6"/>
  <c r="AK17" i="6"/>
  <c r="AK18" i="6"/>
  <c r="AH10" i="6"/>
  <c r="AH12" i="6"/>
  <c r="AH13" i="6"/>
  <c r="AH14" i="6"/>
  <c r="AH15" i="6"/>
  <c r="AH16" i="6"/>
  <c r="AH17" i="6"/>
  <c r="AH18" i="6"/>
  <c r="AF10" i="6"/>
  <c r="AF11" i="6"/>
  <c r="AF12" i="6"/>
  <c r="AK12" i="6" s="1"/>
  <c r="AF13" i="6"/>
  <c r="AF14" i="6"/>
  <c r="AF15" i="6"/>
  <c r="AF16" i="6"/>
  <c r="AF17" i="6"/>
  <c r="AF18" i="6"/>
  <c r="Z10" i="6"/>
  <c r="Y10" i="6"/>
  <c r="X10" i="6"/>
  <c r="V12" i="6"/>
  <c r="V13" i="6"/>
  <c r="V14" i="6"/>
  <c r="V15" i="6"/>
  <c r="V16" i="6"/>
  <c r="V17" i="6"/>
  <c r="V18" i="6"/>
  <c r="V9" i="6"/>
  <c r="V10" i="6"/>
  <c r="V11" i="6"/>
  <c r="V8" i="6"/>
  <c r="U9" i="6"/>
  <c r="U10" i="6"/>
  <c r="U13" i="6"/>
  <c r="U14" i="6"/>
  <c r="U15" i="6"/>
  <c r="U16" i="6"/>
  <c r="U17" i="6"/>
  <c r="U18" i="6"/>
  <c r="U8" i="6"/>
  <c r="M9" i="6"/>
  <c r="M10" i="6"/>
  <c r="K9" i="6"/>
  <c r="K10" i="6"/>
  <c r="I9" i="6"/>
  <c r="I10" i="6"/>
  <c r="I11" i="6"/>
  <c r="I12" i="6"/>
  <c r="I13" i="6"/>
  <c r="I14" i="6"/>
  <c r="I15" i="6"/>
  <c r="I16" i="6"/>
  <c r="I17" i="6"/>
  <c r="I18" i="6"/>
  <c r="H13" i="6"/>
  <c r="H14" i="6"/>
  <c r="H15" i="6"/>
  <c r="H16" i="6"/>
  <c r="H17" i="6"/>
  <c r="H18" i="6"/>
  <c r="F13" i="6"/>
  <c r="F14" i="6"/>
  <c r="F15" i="6"/>
  <c r="F16" i="6"/>
  <c r="F17" i="6"/>
  <c r="F18" i="6"/>
  <c r="S13" i="6"/>
  <c r="S14" i="6"/>
  <c r="S15" i="6"/>
  <c r="S16" i="6"/>
  <c r="S17" i="6"/>
  <c r="S18" i="6"/>
  <c r="S9" i="6"/>
  <c r="S10" i="6"/>
  <c r="S11" i="6"/>
  <c r="X11" i="6" s="1"/>
  <c r="S12" i="6"/>
  <c r="X12" i="6" s="1"/>
  <c r="S8" i="6"/>
  <c r="I8" i="6"/>
  <c r="O9" i="5"/>
  <c r="AI13" i="6"/>
  <c r="AJ11" i="6"/>
  <c r="AJ12" i="6"/>
  <c r="AJ13" i="6"/>
  <c r="AJ14" i="6"/>
  <c r="AJ15" i="6"/>
  <c r="AJ16" i="6"/>
  <c r="AJ17" i="6"/>
  <c r="AJ18" i="6"/>
  <c r="AJ10" i="6"/>
  <c r="R10" i="6" l="1"/>
  <c r="R13" i="6"/>
  <c r="R14" i="6"/>
  <c r="R15" i="6"/>
  <c r="R16" i="6"/>
  <c r="R17" i="6"/>
  <c r="R18" i="6"/>
  <c r="O18" i="6"/>
  <c r="AB18" i="6" s="1"/>
  <c r="O17" i="6"/>
  <c r="O16" i="6"/>
  <c r="O15" i="6"/>
  <c r="O14" i="6"/>
  <c r="O13" i="6"/>
  <c r="AB13" i="6" s="1"/>
  <c r="O12" i="6"/>
  <c r="R12" i="6" s="1"/>
  <c r="O11" i="6"/>
  <c r="O10" i="6"/>
  <c r="AB10" i="6" s="1"/>
  <c r="AB14" i="6"/>
  <c r="AB16" i="6"/>
  <c r="AB17" i="6"/>
  <c r="AC11" i="6"/>
  <c r="AC12" i="6"/>
  <c r="AC13" i="6"/>
  <c r="AL13" i="6" s="1"/>
  <c r="AC14" i="6"/>
  <c r="AL14" i="6" s="1"/>
  <c r="AC15" i="6"/>
  <c r="AL15" i="6" s="1"/>
  <c r="AC16" i="6"/>
  <c r="AL16" i="6" s="1"/>
  <c r="AC17" i="6"/>
  <c r="AL17" i="6" s="1"/>
  <c r="AC18" i="6"/>
  <c r="AL18" i="6" s="1"/>
  <c r="G7" i="23"/>
  <c r="G5" i="23"/>
  <c r="L35" i="16"/>
  <c r="I35" i="16"/>
  <c r="Z12" i="6" l="1"/>
  <c r="Y12" i="6"/>
  <c r="Z11" i="6"/>
  <c r="Y11" i="6"/>
  <c r="R11" i="6"/>
  <c r="H9" i="6"/>
  <c r="H10" i="6"/>
  <c r="H8" i="6"/>
  <c r="F9" i="6"/>
  <c r="F10" i="6"/>
  <c r="F8" i="6"/>
  <c r="E10" i="6"/>
  <c r="AE10" i="6" s="1"/>
  <c r="E7" i="15" s="1"/>
  <c r="E13" i="6"/>
  <c r="E14" i="6"/>
  <c r="E16" i="6"/>
  <c r="E17" i="6"/>
  <c r="E18" i="6"/>
  <c r="B11" i="6"/>
  <c r="M11" i="6" s="1"/>
  <c r="B12" i="6"/>
  <c r="B13" i="6"/>
  <c r="B14" i="6"/>
  <c r="B15" i="6"/>
  <c r="AB15" i="6" s="1"/>
  <c r="B16" i="6"/>
  <c r="B17" i="6"/>
  <c r="B18" i="6"/>
  <c r="C10" i="6"/>
  <c r="B10" i="6"/>
  <c r="P22" i="9"/>
  <c r="P23" i="9"/>
  <c r="P24" i="9"/>
  <c r="P21" i="9"/>
  <c r="Q7" i="28"/>
  <c r="Q8" i="28"/>
  <c r="Q9" i="28"/>
  <c r="Q7" i="22"/>
  <c r="Q8" i="22"/>
  <c r="Q9" i="22"/>
  <c r="L8" i="21"/>
  <c r="L9" i="21"/>
  <c r="L10" i="21"/>
  <c r="L11" i="21"/>
  <c r="L12" i="21"/>
  <c r="L13" i="21"/>
  <c r="L14" i="21"/>
  <c r="L15" i="21"/>
  <c r="K8" i="21"/>
  <c r="K9" i="21"/>
  <c r="K10" i="21"/>
  <c r="K11" i="21"/>
  <c r="J11" i="21" s="1"/>
  <c r="K12" i="21"/>
  <c r="K13" i="21"/>
  <c r="K14" i="21"/>
  <c r="K15" i="21"/>
  <c r="L7" i="21"/>
  <c r="K7" i="21"/>
  <c r="J7" i="21"/>
  <c r="J9" i="21"/>
  <c r="J10" i="21"/>
  <c r="B7" i="21"/>
  <c r="AH11" i="6"/>
  <c r="B11" i="21"/>
  <c r="B12" i="21"/>
  <c r="B13" i="21"/>
  <c r="B14" i="21"/>
  <c r="B15" i="21"/>
  <c r="E23" i="7"/>
  <c r="D23" i="7"/>
  <c r="G38" i="16"/>
  <c r="L12" i="6" l="1"/>
  <c r="M12" i="6"/>
  <c r="AB12" i="6"/>
  <c r="E12" i="6"/>
  <c r="AE12" i="6" s="1"/>
  <c r="AB11" i="6"/>
  <c r="E11" i="6"/>
  <c r="AE11" i="6" s="1"/>
  <c r="J8" i="21"/>
  <c r="L10" i="6"/>
  <c r="AC10" i="6"/>
  <c r="AL10" i="6" s="1"/>
  <c r="E15" i="6"/>
  <c r="J15" i="21"/>
  <c r="J14" i="21"/>
  <c r="J13" i="21"/>
  <c r="J12" i="21"/>
  <c r="D26" i="5"/>
  <c r="C26" i="5"/>
  <c r="G32" i="28"/>
  <c r="C31" i="28"/>
  <c r="C26" i="2"/>
  <c r="D26" i="2"/>
  <c r="E26" i="2"/>
  <c r="F26" i="2"/>
  <c r="G26" i="2"/>
  <c r="G25" i="2"/>
  <c r="F25" i="2"/>
  <c r="E25" i="2"/>
  <c r="D25" i="2"/>
  <c r="C25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AM12" i="6" l="1"/>
  <c r="AL12" i="6"/>
  <c r="AM11" i="6"/>
  <c r="AL11" i="6"/>
  <c r="H35" i="16"/>
  <c r="H38" i="16" s="1"/>
  <c r="G35" i="16"/>
  <c r="F35" i="16"/>
  <c r="D9" i="13"/>
  <c r="P7" i="28" l="1"/>
  <c r="P8" i="28"/>
  <c r="P9" i="28"/>
  <c r="P10" i="28"/>
  <c r="H11" i="6" s="1"/>
  <c r="P11" i="28"/>
  <c r="H12" i="6" s="1"/>
  <c r="P12" i="28"/>
  <c r="Q13" i="28" s="1"/>
  <c r="O7" i="28"/>
  <c r="O8" i="28"/>
  <c r="O9" i="28"/>
  <c r="O10" i="28"/>
  <c r="U11" i="6" s="1"/>
  <c r="O11" i="28"/>
  <c r="U12" i="6" s="1"/>
  <c r="O12" i="28"/>
  <c r="N7" i="28"/>
  <c r="N8" i="28"/>
  <c r="N9" i="28"/>
  <c r="N10" i="28"/>
  <c r="N11" i="28"/>
  <c r="N12" i="28"/>
  <c r="P7" i="22"/>
  <c r="P8" i="22"/>
  <c r="P9" i="22"/>
  <c r="P10" i="22"/>
  <c r="P11" i="22"/>
  <c r="F12" i="6" s="1"/>
  <c r="K12" i="6" s="1"/>
  <c r="P12" i="22"/>
  <c r="O7" i="22"/>
  <c r="O8" i="22"/>
  <c r="O9" i="22"/>
  <c r="O10" i="22"/>
  <c r="O11" i="22"/>
  <c r="O12" i="22"/>
  <c r="N7" i="22"/>
  <c r="N8" i="22"/>
  <c r="N9" i="22"/>
  <c r="N10" i="22"/>
  <c r="N11" i="22"/>
  <c r="N12" i="22"/>
  <c r="G41" i="28"/>
  <c r="F41" i="28"/>
  <c r="E41" i="28"/>
  <c r="D41" i="28"/>
  <c r="C41" i="28"/>
  <c r="G40" i="28"/>
  <c r="F40" i="28"/>
  <c r="E40" i="28"/>
  <c r="D40" i="28"/>
  <c r="C40" i="28"/>
  <c r="H40" i="28" s="1"/>
  <c r="G39" i="28"/>
  <c r="F39" i="28"/>
  <c r="E39" i="28"/>
  <c r="D39" i="28"/>
  <c r="C39" i="28"/>
  <c r="G38" i="28"/>
  <c r="F38" i="28"/>
  <c r="E38" i="28"/>
  <c r="D38" i="28"/>
  <c r="C38" i="28"/>
  <c r="H38" i="28" s="1"/>
  <c r="G37" i="28"/>
  <c r="F37" i="28"/>
  <c r="E37" i="28"/>
  <c r="D37" i="28"/>
  <c r="C37" i="28"/>
  <c r="H37" i="28" s="1"/>
  <c r="G36" i="28"/>
  <c r="F36" i="28"/>
  <c r="E36" i="28"/>
  <c r="D36" i="28"/>
  <c r="C36" i="28"/>
  <c r="H36" i="28" s="1"/>
  <c r="G35" i="28"/>
  <c r="F35" i="28"/>
  <c r="E35" i="28"/>
  <c r="D35" i="28"/>
  <c r="C35" i="28"/>
  <c r="G34" i="28"/>
  <c r="F34" i="28"/>
  <c r="E34" i="28"/>
  <c r="D34" i="28"/>
  <c r="C34" i="28"/>
  <c r="G33" i="28"/>
  <c r="F33" i="28"/>
  <c r="E33" i="28"/>
  <c r="D33" i="28"/>
  <c r="C33" i="28"/>
  <c r="F32" i="28"/>
  <c r="E32" i="28"/>
  <c r="D32" i="28"/>
  <c r="C32" i="28"/>
  <c r="G31" i="28"/>
  <c r="F31" i="28"/>
  <c r="E31" i="28"/>
  <c r="D31" i="28"/>
  <c r="G30" i="28"/>
  <c r="F30" i="28"/>
  <c r="E30" i="28"/>
  <c r="D30" i="28"/>
  <c r="C30" i="28"/>
  <c r="H30" i="28" s="1"/>
  <c r="R17" i="28"/>
  <c r="Q16" i="28"/>
  <c r="Q15" i="28"/>
  <c r="Q14" i="28"/>
  <c r="C30" i="22"/>
  <c r="D30" i="22"/>
  <c r="E30" i="22"/>
  <c r="F30" i="22"/>
  <c r="G30" i="22"/>
  <c r="H30" i="22"/>
  <c r="C31" i="22"/>
  <c r="D31" i="22"/>
  <c r="E31" i="22"/>
  <c r="F31" i="22"/>
  <c r="G31" i="22"/>
  <c r="H31" i="22"/>
  <c r="C32" i="22"/>
  <c r="D32" i="22"/>
  <c r="E32" i="22"/>
  <c r="F32" i="22"/>
  <c r="G32" i="22"/>
  <c r="H35" i="28" l="1"/>
  <c r="Q12" i="28"/>
  <c r="Q10" i="28"/>
  <c r="H34" i="28"/>
  <c r="F11" i="6"/>
  <c r="K11" i="6" s="1"/>
  <c r="Q10" i="22"/>
  <c r="H33" i="28"/>
  <c r="H41" i="28"/>
  <c r="H39" i="28"/>
  <c r="H32" i="28"/>
  <c r="H32" i="22"/>
  <c r="G42" i="28"/>
  <c r="F42" i="28"/>
  <c r="E42" i="28"/>
  <c r="H31" i="28"/>
  <c r="D42" i="28"/>
  <c r="R14" i="28"/>
  <c r="Q17" i="28"/>
  <c r="C42" i="28"/>
  <c r="H42" i="28" l="1"/>
  <c r="O8" i="5"/>
  <c r="O7" i="5"/>
  <c r="N7" i="5" l="1"/>
  <c r="N8" i="5"/>
  <c r="N9" i="5"/>
  <c r="AI10" i="6" s="1"/>
  <c r="N10" i="5"/>
  <c r="AI11" i="6" s="1"/>
  <c r="N11" i="5"/>
  <c r="N12" i="5"/>
  <c r="O11" i="5" l="1"/>
  <c r="AI12" i="6"/>
  <c r="C3" i="16"/>
  <c r="AK8" i="6"/>
  <c r="AP8" i="6"/>
  <c r="AI9" i="6"/>
  <c r="AI8" i="6"/>
  <c r="AB8" i="6" l="1"/>
  <c r="B8" i="6"/>
  <c r="AF9" i="6"/>
  <c r="AF8" i="6"/>
  <c r="Q11" i="22"/>
  <c r="Q12" i="22"/>
  <c r="J6" i="21"/>
  <c r="B6" i="21"/>
  <c r="AH9" i="6" s="1"/>
  <c r="B5" i="21" l="1"/>
  <c r="AH8" i="6" s="1"/>
  <c r="J5" i="21"/>
  <c r="O9" i="2" l="1"/>
  <c r="O13" i="2"/>
  <c r="O14" i="2"/>
  <c r="O15" i="2"/>
  <c r="O16" i="2"/>
  <c r="O17" i="2"/>
  <c r="O8" i="2"/>
  <c r="O7" i="2"/>
  <c r="P20" i="9"/>
  <c r="P19" i="9"/>
  <c r="F40" i="13" l="1"/>
  <c r="F39" i="13"/>
  <c r="F36" i="13"/>
  <c r="F33" i="13"/>
  <c r="F30" i="13"/>
  <c r="F29" i="13"/>
  <c r="F28" i="13"/>
  <c r="F27" i="13"/>
  <c r="F26" i="13"/>
  <c r="F25" i="13"/>
  <c r="F22" i="13"/>
  <c r="F20" i="13"/>
  <c r="F19" i="13"/>
  <c r="F13" i="13"/>
  <c r="F11" i="13"/>
  <c r="F10" i="13"/>
  <c r="F9" i="13"/>
  <c r="F31" i="13" l="1"/>
  <c r="J33" i="16" l="1"/>
  <c r="G41" i="16"/>
  <c r="H41" i="16"/>
  <c r="I41" i="16"/>
  <c r="J41" i="16"/>
  <c r="K41" i="16"/>
  <c r="L41" i="16"/>
  <c r="M41" i="16"/>
  <c r="N41" i="16"/>
  <c r="O41" i="16"/>
  <c r="P41" i="16"/>
  <c r="Q41" i="16"/>
  <c r="F41" i="16"/>
  <c r="B20" i="15"/>
  <c r="B21" i="15" s="1"/>
  <c r="C8" i="15"/>
  <c r="B8" i="15"/>
  <c r="F36" i="16"/>
  <c r="F43" i="16" s="1"/>
  <c r="Q36" i="16"/>
  <c r="P36" i="16"/>
  <c r="O36" i="16"/>
  <c r="N36" i="16"/>
  <c r="M36" i="16"/>
  <c r="L36" i="16"/>
  <c r="K36" i="16"/>
  <c r="J36" i="16"/>
  <c r="I36" i="16"/>
  <c r="P32" i="16"/>
  <c r="O32" i="16"/>
  <c r="N32" i="16"/>
  <c r="M32" i="16"/>
  <c r="L32" i="16"/>
  <c r="H36" i="16"/>
  <c r="G36" i="16"/>
  <c r="P18" i="9"/>
  <c r="F33" i="16"/>
  <c r="G33" i="16"/>
  <c r="B16" i="16"/>
  <c r="D4" i="16"/>
  <c r="G32" i="16" s="1"/>
  <c r="D5" i="16"/>
  <c r="H32" i="16" s="1"/>
  <c r="D6" i="16"/>
  <c r="I32" i="16" s="1"/>
  <c r="D7" i="16"/>
  <c r="J32" i="16" s="1"/>
  <c r="D8" i="16"/>
  <c r="K32" i="16" s="1"/>
  <c r="D9" i="16"/>
  <c r="D10" i="16"/>
  <c r="D11" i="16"/>
  <c r="D12" i="16"/>
  <c r="D13" i="16"/>
  <c r="D14" i="16"/>
  <c r="Q32" i="16" s="1"/>
  <c r="D3" i="16"/>
  <c r="F32" i="16" s="1"/>
  <c r="L7" i="16"/>
  <c r="K7" i="16"/>
  <c r="M7" i="16" s="1"/>
  <c r="J7" i="16"/>
  <c r="L6" i="16"/>
  <c r="M6" i="16" s="1"/>
  <c r="L5" i="16"/>
  <c r="K5" i="16"/>
  <c r="M5" i="16" s="1"/>
  <c r="J5" i="16"/>
  <c r="I5" i="16"/>
  <c r="I7" i="16" s="1"/>
  <c r="H5" i="16"/>
  <c r="H7" i="16" s="1"/>
  <c r="M4" i="16"/>
  <c r="F4" i="16"/>
  <c r="M3" i="16"/>
  <c r="P2" i="16"/>
  <c r="Q2" i="16" s="1"/>
  <c r="L8" i="16" l="1"/>
  <c r="P3" i="16"/>
  <c r="K8" i="16"/>
  <c r="K9" i="16" s="1"/>
  <c r="F7" i="16"/>
  <c r="Q3" i="16" l="1"/>
  <c r="P4" i="16"/>
  <c r="F3" i="16"/>
  <c r="F5" i="16" s="1"/>
  <c r="AB9" i="6"/>
  <c r="R8" i="6"/>
  <c r="O8" i="6"/>
  <c r="C8" i="6"/>
  <c r="AC8" i="6" s="1"/>
  <c r="K8" i="6"/>
  <c r="X8" i="6"/>
  <c r="AD8" i="6"/>
  <c r="AN8" i="6"/>
  <c r="B9" i="6"/>
  <c r="C9" i="6"/>
  <c r="L9" i="6" s="1"/>
  <c r="E9" i="6"/>
  <c r="AG9" i="6"/>
  <c r="O9" i="6"/>
  <c r="R9" i="6" s="1"/>
  <c r="AC9" i="6"/>
  <c r="AD9" i="6"/>
  <c r="AN9" i="6"/>
  <c r="E8" i="6" l="1"/>
  <c r="AE8" i="6" s="1"/>
  <c r="C7" i="15" s="1"/>
  <c r="P5" i="16"/>
  <c r="Q4" i="16"/>
  <c r="AM8" i="6"/>
  <c r="X9" i="6"/>
  <c r="AE9" i="6"/>
  <c r="L8" i="6"/>
  <c r="AO9" i="6"/>
  <c r="AP9" i="6"/>
  <c r="AK9" i="6"/>
  <c r="Z8" i="6"/>
  <c r="Y8" i="6"/>
  <c r="Z9" i="6"/>
  <c r="M8" i="6"/>
  <c r="Y9" i="6"/>
  <c r="AG8" i="6"/>
  <c r="P6" i="16" l="1"/>
  <c r="Q5" i="16"/>
  <c r="C4" i="16"/>
  <c r="AL8" i="6"/>
  <c r="C9" i="15"/>
  <c r="C10" i="15" s="1"/>
  <c r="AL9" i="6"/>
  <c r="AM9" i="6"/>
  <c r="D21" i="10"/>
  <c r="N7" i="8"/>
  <c r="N8" i="8"/>
  <c r="N9" i="8"/>
  <c r="N6" i="2"/>
  <c r="N7" i="2"/>
  <c r="N8" i="2"/>
  <c r="N9" i="2"/>
  <c r="N13" i="2"/>
  <c r="N14" i="2"/>
  <c r="N15" i="2"/>
  <c r="N16" i="2"/>
  <c r="N17" i="2"/>
  <c r="E40" i="13"/>
  <c r="E39" i="13"/>
  <c r="E36" i="13"/>
  <c r="E33" i="13"/>
  <c r="E30" i="13"/>
  <c r="E29" i="13"/>
  <c r="E28" i="13"/>
  <c r="E27" i="13"/>
  <c r="E26" i="13"/>
  <c r="E25" i="13"/>
  <c r="E22" i="13"/>
  <c r="E20" i="13"/>
  <c r="E19" i="13"/>
  <c r="E13" i="13"/>
  <c r="E11" i="13"/>
  <c r="E10" i="13"/>
  <c r="E9" i="13"/>
  <c r="D40" i="12"/>
  <c r="C40" i="12"/>
  <c r="D17" i="12"/>
  <c r="D22" i="12"/>
  <c r="D29" i="12"/>
  <c r="D38" i="12"/>
  <c r="E38" i="12"/>
  <c r="F38" i="12"/>
  <c r="G38" i="12"/>
  <c r="H38" i="12"/>
  <c r="I38" i="12"/>
  <c r="J38" i="12"/>
  <c r="K38" i="12"/>
  <c r="E29" i="12"/>
  <c r="F29" i="12"/>
  <c r="G29" i="12"/>
  <c r="H29" i="12"/>
  <c r="I29" i="12"/>
  <c r="J29" i="12"/>
  <c r="E22" i="12"/>
  <c r="F22" i="12"/>
  <c r="G22" i="12"/>
  <c r="H22" i="12"/>
  <c r="I22" i="12"/>
  <c r="J22" i="12"/>
  <c r="E17" i="12"/>
  <c r="F17" i="12"/>
  <c r="G17" i="12"/>
  <c r="H17" i="12"/>
  <c r="I17" i="12"/>
  <c r="J17" i="12"/>
  <c r="O24" i="12"/>
  <c r="P24" i="12"/>
  <c r="D31" i="13"/>
  <c r="C28" i="7" s="1"/>
  <c r="C29" i="12"/>
  <c r="C23" i="7"/>
  <c r="G26" i="13"/>
  <c r="H26" i="13"/>
  <c r="I26" i="13"/>
  <c r="J26" i="13"/>
  <c r="K26" i="13"/>
  <c r="L26" i="13"/>
  <c r="M26" i="13"/>
  <c r="N26" i="13"/>
  <c r="O26" i="13"/>
  <c r="C31" i="13"/>
  <c r="C25" i="13"/>
  <c r="D26" i="13"/>
  <c r="C12" i="12"/>
  <c r="C5" i="16" l="1"/>
  <c r="Q6" i="16"/>
  <c r="P7" i="16"/>
  <c r="P8" i="16" l="1"/>
  <c r="Q7" i="16"/>
  <c r="C6" i="16"/>
  <c r="C7" i="16" l="1"/>
  <c r="Q8" i="16"/>
  <c r="P9" i="16"/>
  <c r="O9" i="12"/>
  <c r="R17" i="22"/>
  <c r="R14" i="22"/>
  <c r="R11" i="22"/>
  <c r="Q9" i="16" l="1"/>
  <c r="P10" i="16"/>
  <c r="C8" i="16"/>
  <c r="AD18" i="6"/>
  <c r="T18" i="6"/>
  <c r="Z18" i="6"/>
  <c r="M18" i="6"/>
  <c r="N17" i="8"/>
  <c r="P29" i="9" l="1"/>
  <c r="Q34" i="16" s="1"/>
  <c r="Q35" i="16" s="1"/>
  <c r="Q33" i="16"/>
  <c r="M8" i="15"/>
  <c r="C9" i="16"/>
  <c r="P11" i="16"/>
  <c r="Q10" i="16"/>
  <c r="AG18" i="6"/>
  <c r="AE18" i="6"/>
  <c r="M7" i="15"/>
  <c r="Y18" i="6"/>
  <c r="L18" i="6"/>
  <c r="M27" i="4"/>
  <c r="AA18" i="6" s="1"/>
  <c r="D84" i="10"/>
  <c r="C84" i="10"/>
  <c r="N17" i="5"/>
  <c r="AI18" i="6" l="1"/>
  <c r="P12" i="16"/>
  <c r="Q11" i="16"/>
  <c r="C10" i="16"/>
  <c r="AP18" i="6"/>
  <c r="AO18" i="6"/>
  <c r="Q17" i="22"/>
  <c r="C11" i="16" l="1"/>
  <c r="P13" i="16"/>
  <c r="Q13" i="16" s="1"/>
  <c r="Q12" i="16"/>
  <c r="O25" i="13"/>
  <c r="O27" i="13"/>
  <c r="O10" i="13"/>
  <c r="O11" i="13"/>
  <c r="C12" i="16" l="1"/>
  <c r="N40" i="13"/>
  <c r="N39" i="13"/>
  <c r="N36" i="13"/>
  <c r="N33" i="13"/>
  <c r="N30" i="13"/>
  <c r="N29" i="13"/>
  <c r="N28" i="13"/>
  <c r="N27" i="13"/>
  <c r="N22" i="13"/>
  <c r="N20" i="13"/>
  <c r="N19" i="13"/>
  <c r="N13" i="13"/>
  <c r="N11" i="13"/>
  <c r="N10" i="13"/>
  <c r="N9" i="13"/>
  <c r="N25" i="13"/>
  <c r="C13" i="16" l="1"/>
  <c r="C14" i="16"/>
  <c r="AD17" i="6" l="1"/>
  <c r="T17" i="6"/>
  <c r="Y17" i="6"/>
  <c r="M17" i="6"/>
  <c r="Z17" i="6" l="1"/>
  <c r="AE17" i="6"/>
  <c r="L7" i="15"/>
  <c r="L17" i="6"/>
  <c r="AG17" i="6"/>
  <c r="AP17" i="6" s="1"/>
  <c r="AO17" i="6"/>
  <c r="D77" i="10"/>
  <c r="C77" i="10"/>
  <c r="N16" i="8"/>
  <c r="L8" i="15" l="1"/>
  <c r="P28" i="9"/>
  <c r="N16" i="5"/>
  <c r="AI17" i="6" l="1"/>
  <c r="O17" i="5"/>
  <c r="AD16" i="6" l="1"/>
  <c r="P33" i="16" l="1"/>
  <c r="N15" i="5" l="1"/>
  <c r="K7" i="4"/>
  <c r="O16" i="5" l="1"/>
  <c r="AI16" i="6"/>
  <c r="T16" i="6"/>
  <c r="M16" i="6"/>
  <c r="AE16" i="6" l="1"/>
  <c r="Y16" i="6"/>
  <c r="Z16" i="6"/>
  <c r="AG16" i="6"/>
  <c r="AO16" i="6" s="1"/>
  <c r="L16" i="6"/>
  <c r="K7" i="15" l="1"/>
  <c r="AP16" i="6"/>
  <c r="C70" i="10"/>
  <c r="N15" i="8"/>
  <c r="P27" i="9" s="1"/>
  <c r="C32" i="2"/>
  <c r="E66" i="17"/>
  <c r="E67" i="17" s="1"/>
  <c r="D66" i="17"/>
  <c r="E61" i="17"/>
  <c r="D61" i="17"/>
  <c r="E55" i="17"/>
  <c r="D55" i="17"/>
  <c r="E51" i="17"/>
  <c r="D51" i="17"/>
  <c r="E47" i="17"/>
  <c r="D47" i="17"/>
  <c r="O33" i="16" l="1"/>
  <c r="K8" i="15"/>
  <c r="Q16" i="22"/>
  <c r="D70" i="10"/>
  <c r="L40" i="13"/>
  <c r="L39" i="13"/>
  <c r="L36" i="13"/>
  <c r="L33" i="13"/>
  <c r="L30" i="13"/>
  <c r="L29" i="13"/>
  <c r="L28" i="13"/>
  <c r="L27" i="13"/>
  <c r="L22" i="13"/>
  <c r="L20" i="13"/>
  <c r="L19" i="13"/>
  <c r="L13" i="13"/>
  <c r="L11" i="13"/>
  <c r="L10" i="13"/>
  <c r="L9" i="13"/>
  <c r="L25" i="13"/>
  <c r="J7" i="4" l="1"/>
  <c r="J40" i="4" l="1"/>
  <c r="N15" i="6" s="1"/>
  <c r="AD15" i="6" l="1"/>
  <c r="N14" i="5" l="1"/>
  <c r="T15" i="6"/>
  <c r="Z15" i="6"/>
  <c r="E29" i="3"/>
  <c r="O15" i="5" l="1"/>
  <c r="AI15" i="6"/>
  <c r="P17" i="5"/>
  <c r="Y15" i="6"/>
  <c r="L15" i="6"/>
  <c r="M15" i="6"/>
  <c r="AG15" i="6"/>
  <c r="N14" i="8"/>
  <c r="P26" i="9" s="1"/>
  <c r="D63" i="10"/>
  <c r="C63" i="10"/>
  <c r="AE15" i="6" l="1"/>
  <c r="J7" i="15" s="1"/>
  <c r="N33" i="16"/>
  <c r="J8" i="15"/>
  <c r="N34" i="16"/>
  <c r="AP15" i="6"/>
  <c r="AO15" i="6"/>
  <c r="Q15" i="22"/>
  <c r="N35" i="16" l="1"/>
  <c r="K39" i="13" l="1"/>
  <c r="I40" i="4" l="1"/>
  <c r="N14" i="6" s="1"/>
  <c r="I12" i="4"/>
  <c r="H88" i="4"/>
  <c r="AD14" i="6"/>
  <c r="T14" i="6"/>
  <c r="L14" i="6" l="1"/>
  <c r="M14" i="6"/>
  <c r="AG14" i="6"/>
  <c r="AP14" i="6" s="1"/>
  <c r="AO14" i="6"/>
  <c r="Y14" i="6"/>
  <c r="Z14" i="6"/>
  <c r="AE14" i="6" l="1"/>
  <c r="I7" i="15" s="1"/>
  <c r="D56" i="10"/>
  <c r="C56" i="10"/>
  <c r="N13" i="8"/>
  <c r="P25" i="9" s="1"/>
  <c r="N13" i="5"/>
  <c r="AI14" i="6" l="1"/>
  <c r="O13" i="5"/>
  <c r="O14" i="5"/>
  <c r="I8" i="15"/>
  <c r="E28" i="3"/>
  <c r="Q14" i="22" l="1"/>
  <c r="G36" i="5"/>
  <c r="G35" i="2" l="1"/>
  <c r="G32" i="2"/>
  <c r="G33" i="2"/>
  <c r="G34" i="2"/>
  <c r="G36" i="2"/>
  <c r="F31" i="2"/>
  <c r="E31" i="2"/>
  <c r="D31" i="2"/>
  <c r="C31" i="2"/>
  <c r="C33" i="2"/>
  <c r="C34" i="2"/>
  <c r="C35" i="2"/>
  <c r="C36" i="2"/>
  <c r="E32" i="2"/>
  <c r="E33" i="2"/>
  <c r="E34" i="2"/>
  <c r="E35" i="2"/>
  <c r="E36" i="2"/>
  <c r="E37" i="2"/>
  <c r="J39" i="13"/>
  <c r="J40" i="13"/>
  <c r="D49" i="10" l="1"/>
  <c r="I40" i="12" l="1"/>
  <c r="H8" i="15"/>
  <c r="M33" i="16"/>
  <c r="L33" i="16"/>
  <c r="H40" i="4" l="1"/>
  <c r="N13" i="6" s="1"/>
  <c r="Q13" i="22" l="1"/>
  <c r="AD13" i="6" l="1"/>
  <c r="T13" i="6"/>
  <c r="G13" i="6"/>
  <c r="M34" i="16"/>
  <c r="C49" i="10"/>
  <c r="M35" i="16" l="1"/>
  <c r="L13" i="6"/>
  <c r="M13" i="6"/>
  <c r="Y13" i="6"/>
  <c r="Z13" i="6"/>
  <c r="AG13" i="6"/>
  <c r="O10" i="21"/>
  <c r="AE13" i="6" l="1"/>
  <c r="H7" i="15" s="1"/>
  <c r="K13" i="6"/>
  <c r="AP13" i="6"/>
  <c r="AO13" i="6"/>
  <c r="E27" i="3"/>
  <c r="E26" i="3"/>
  <c r="E25" i="3"/>
  <c r="G27" i="4" l="1"/>
  <c r="AA12" i="6" s="1"/>
  <c r="F27" i="4"/>
  <c r="AA11" i="6" s="1"/>
  <c r="C25" i="21" l="1"/>
  <c r="G55" i="4"/>
  <c r="G58" i="4"/>
  <c r="G59" i="4"/>
  <c r="E23" i="3" l="1"/>
  <c r="E24" i="3"/>
  <c r="E30" i="3"/>
  <c r="E31" i="3"/>
  <c r="E32" i="3"/>
  <c r="E33" i="3"/>
  <c r="H25" i="2" l="1"/>
  <c r="H26" i="2"/>
  <c r="H28" i="2"/>
  <c r="G31" i="2"/>
  <c r="D32" i="2"/>
  <c r="F32" i="2"/>
  <c r="D33" i="2"/>
  <c r="F33" i="2"/>
  <c r="D34" i="2"/>
  <c r="F34" i="2"/>
  <c r="H34" i="2" s="1"/>
  <c r="D35" i="2"/>
  <c r="H35" i="2" s="1"/>
  <c r="F35" i="2"/>
  <c r="D36" i="2"/>
  <c r="F36" i="2"/>
  <c r="H36" i="2" s="1"/>
  <c r="H27" i="2" l="1"/>
  <c r="H29" i="2"/>
  <c r="H30" i="2"/>
  <c r="H33" i="2"/>
  <c r="H32" i="2"/>
  <c r="H31" i="2"/>
  <c r="G33" i="22"/>
  <c r="G34" i="22"/>
  <c r="G35" i="22"/>
  <c r="G36" i="22"/>
  <c r="G37" i="22"/>
  <c r="G38" i="22"/>
  <c r="G39" i="22"/>
  <c r="G40" i="22"/>
  <c r="G41" i="22"/>
  <c r="F33" i="22"/>
  <c r="F34" i="22"/>
  <c r="F35" i="22"/>
  <c r="F36" i="22"/>
  <c r="F37" i="22"/>
  <c r="F38" i="22"/>
  <c r="F39" i="22"/>
  <c r="F40" i="22"/>
  <c r="F41" i="22"/>
  <c r="E33" i="22"/>
  <c r="E34" i="22"/>
  <c r="E35" i="22"/>
  <c r="E36" i="22"/>
  <c r="E37" i="22"/>
  <c r="E38" i="22"/>
  <c r="E39" i="22"/>
  <c r="E40" i="22"/>
  <c r="E41" i="22"/>
  <c r="D33" i="22"/>
  <c r="D34" i="22"/>
  <c r="D35" i="22"/>
  <c r="D36" i="22"/>
  <c r="D37" i="22"/>
  <c r="D38" i="22"/>
  <c r="D39" i="22"/>
  <c r="D40" i="22"/>
  <c r="D41" i="22"/>
  <c r="C33" i="22"/>
  <c r="C34" i="22"/>
  <c r="C35" i="22"/>
  <c r="C36" i="22"/>
  <c r="C37" i="22"/>
  <c r="C38" i="22"/>
  <c r="C39" i="22"/>
  <c r="C40" i="22"/>
  <c r="C41" i="22"/>
  <c r="G26" i="5"/>
  <c r="G27" i="5"/>
  <c r="G28" i="5"/>
  <c r="G29" i="5"/>
  <c r="G30" i="5"/>
  <c r="G31" i="5"/>
  <c r="G32" i="5"/>
  <c r="G33" i="5"/>
  <c r="G34" i="5"/>
  <c r="G35" i="5"/>
  <c r="G25" i="5"/>
  <c r="F26" i="5"/>
  <c r="F27" i="5"/>
  <c r="F28" i="5"/>
  <c r="F29" i="5"/>
  <c r="F30" i="5"/>
  <c r="F31" i="5"/>
  <c r="F32" i="5"/>
  <c r="F33" i="5"/>
  <c r="F34" i="5"/>
  <c r="F35" i="5"/>
  <c r="F36" i="5"/>
  <c r="E26" i="5"/>
  <c r="E27" i="5"/>
  <c r="E28" i="5"/>
  <c r="E29" i="5"/>
  <c r="E30" i="5"/>
  <c r="E31" i="5"/>
  <c r="E32" i="5"/>
  <c r="E33" i="5"/>
  <c r="E34" i="5"/>
  <c r="E35" i="5"/>
  <c r="E36" i="5"/>
  <c r="D27" i="5"/>
  <c r="D28" i="5"/>
  <c r="D29" i="5"/>
  <c r="D30" i="5"/>
  <c r="D31" i="5"/>
  <c r="D32" i="5"/>
  <c r="D33" i="5"/>
  <c r="D34" i="5"/>
  <c r="D35" i="5"/>
  <c r="D36" i="5"/>
  <c r="C27" i="5"/>
  <c r="C28" i="5"/>
  <c r="C29" i="5"/>
  <c r="C30" i="5"/>
  <c r="C31" i="5"/>
  <c r="C32" i="5"/>
  <c r="C33" i="5"/>
  <c r="C34" i="5"/>
  <c r="C35" i="5"/>
  <c r="C36" i="5"/>
  <c r="F25" i="5"/>
  <c r="E25" i="5"/>
  <c r="D25" i="5"/>
  <c r="C25" i="5"/>
  <c r="C37" i="5" l="1"/>
  <c r="F37" i="5"/>
  <c r="G37" i="5"/>
  <c r="E37" i="5"/>
  <c r="D37" i="5"/>
  <c r="H33" i="22"/>
  <c r="H25" i="5"/>
  <c r="H30" i="5"/>
  <c r="H31" i="5"/>
  <c r="H28" i="5"/>
  <c r="H26" i="5"/>
  <c r="H27" i="5"/>
  <c r="H29" i="5"/>
  <c r="H35" i="5"/>
  <c r="H40" i="22"/>
  <c r="H34" i="5"/>
  <c r="H33" i="5"/>
  <c r="H32" i="5"/>
  <c r="H39" i="22"/>
  <c r="H37" i="22"/>
  <c r="H38" i="22"/>
  <c r="H35" i="22"/>
  <c r="H41" i="22"/>
  <c r="H34" i="22"/>
  <c r="H36" i="22"/>
  <c r="G42" i="22"/>
  <c r="D42" i="22"/>
  <c r="C42" i="22"/>
  <c r="F42" i="22"/>
  <c r="E42" i="22"/>
  <c r="H42" i="22" l="1"/>
  <c r="F7" i="4"/>
  <c r="F8" i="4"/>
  <c r="F11" i="4"/>
  <c r="F9" i="4"/>
  <c r="F10" i="4"/>
  <c r="F12" i="4"/>
  <c r="F13" i="4" l="1"/>
  <c r="G8" i="15" l="1"/>
  <c r="D42" i="10"/>
  <c r="C42" i="10"/>
  <c r="K33" i="16"/>
  <c r="G7" i="15" l="1"/>
  <c r="I34" i="13"/>
  <c r="I35" i="13"/>
  <c r="I36" i="13"/>
  <c r="I37" i="13"/>
  <c r="I38" i="13"/>
  <c r="I39" i="13"/>
  <c r="I40" i="13"/>
  <c r="I33" i="13"/>
  <c r="I27" i="13"/>
  <c r="I28" i="13"/>
  <c r="I29" i="13"/>
  <c r="I30" i="13"/>
  <c r="I25" i="13"/>
  <c r="I20" i="13"/>
  <c r="I21" i="13"/>
  <c r="I22" i="13"/>
  <c r="I19" i="13"/>
  <c r="I13" i="13"/>
  <c r="I10" i="13"/>
  <c r="I11" i="13"/>
  <c r="I9" i="13"/>
  <c r="D143" i="13" l="1"/>
  <c r="G143" i="13"/>
  <c r="F143" i="13"/>
  <c r="I12" i="13"/>
  <c r="I31" i="13"/>
  <c r="I41" i="13"/>
  <c r="I23" i="13"/>
  <c r="I54" i="13"/>
  <c r="I48" i="13"/>
  <c r="I17" i="13"/>
  <c r="I43" i="13" l="1"/>
  <c r="I49" i="13" l="1"/>
  <c r="I51" i="13"/>
  <c r="I52" i="13" s="1"/>
  <c r="I42" i="13"/>
  <c r="I55" i="13"/>
  <c r="K34" i="16" l="1"/>
  <c r="K35" i="16" s="1"/>
  <c r="P14" i="5" l="1"/>
  <c r="K38" i="16"/>
  <c r="D27" i="21"/>
  <c r="C27" i="21"/>
  <c r="H36" i="5" l="1"/>
  <c r="H37" i="5" s="1"/>
  <c r="H22" i="13" l="1"/>
  <c r="P8" i="21" l="1"/>
  <c r="O8" i="21"/>
  <c r="F8" i="15" l="1"/>
  <c r="D26" i="21"/>
  <c r="C26" i="21"/>
  <c r="F7" i="15"/>
  <c r="O4" i="21" l="1"/>
  <c r="P4" i="21"/>
  <c r="O5" i="21"/>
  <c r="P5" i="21"/>
  <c r="O6" i="21"/>
  <c r="P6" i="21"/>
  <c r="O7" i="21"/>
  <c r="P7" i="21"/>
  <c r="O9" i="21"/>
  <c r="P9" i="21"/>
  <c r="P10" i="21"/>
  <c r="O11" i="21"/>
  <c r="P11" i="21"/>
  <c r="X14" i="6" s="1"/>
  <c r="O12" i="21"/>
  <c r="P12" i="21"/>
  <c r="X15" i="6" s="1"/>
  <c r="O13" i="21"/>
  <c r="P13" i="21"/>
  <c r="X16" i="6" s="1"/>
  <c r="O14" i="21"/>
  <c r="P14" i="21"/>
  <c r="X17" i="6" s="1"/>
  <c r="O15" i="21"/>
  <c r="P15" i="21"/>
  <c r="X18" i="6" s="1"/>
  <c r="G9" i="13"/>
  <c r="K17" i="6" l="1"/>
  <c r="K18" i="6"/>
  <c r="K16" i="6"/>
  <c r="K15" i="6"/>
  <c r="X13" i="6"/>
  <c r="K14" i="6"/>
  <c r="D8" i="15" l="1"/>
  <c r="D25" i="21" l="1"/>
  <c r="D28" i="10" l="1"/>
  <c r="C28" i="10"/>
  <c r="N21" i="9" l="1"/>
  <c r="O21" i="9"/>
  <c r="G40" i="13"/>
  <c r="G39" i="13"/>
  <c r="G36" i="13"/>
  <c r="G33" i="13"/>
  <c r="G30" i="13"/>
  <c r="G29" i="13"/>
  <c r="G28" i="13"/>
  <c r="G27" i="13"/>
  <c r="G22" i="13"/>
  <c r="G20" i="13"/>
  <c r="G19" i="13"/>
  <c r="G13" i="13"/>
  <c r="G11" i="13"/>
  <c r="G10" i="13"/>
  <c r="D13" i="13"/>
  <c r="G25" i="13"/>
  <c r="C41" i="13"/>
  <c r="C23" i="13"/>
  <c r="C17" i="13"/>
  <c r="C43" i="13" s="1"/>
  <c r="C22" i="12"/>
  <c r="C38" i="12"/>
  <c r="C45" i="12"/>
  <c r="C65" i="12"/>
  <c r="C126" i="12"/>
  <c r="C131" i="12"/>
  <c r="C136" i="12"/>
  <c r="C137" i="12"/>
  <c r="C142" i="12" s="1"/>
  <c r="C151" i="12"/>
  <c r="G147" i="12"/>
  <c r="G136" i="12"/>
  <c r="G141" i="12" s="1"/>
  <c r="G131" i="12"/>
  <c r="G135" i="12"/>
  <c r="V12" i="13" l="1"/>
  <c r="V15" i="13" s="1"/>
  <c r="C56" i="12"/>
  <c r="C55" i="12"/>
  <c r="E8" i="15"/>
  <c r="I33" i="16"/>
  <c r="C153" i="12"/>
  <c r="C152" i="12" s="1"/>
  <c r="C66" i="12"/>
  <c r="G34" i="16"/>
  <c r="H34" i="16"/>
  <c r="I34" i="16"/>
  <c r="J34" i="16"/>
  <c r="L34" i="16"/>
  <c r="O34" i="16"/>
  <c r="P34" i="16"/>
  <c r="F34" i="16"/>
  <c r="J35" i="16" l="1"/>
  <c r="C57" i="12"/>
  <c r="P35" i="16"/>
  <c r="O35" i="16"/>
  <c r="C46" i="12"/>
  <c r="C39" i="12"/>
  <c r="N12" i="9" l="1"/>
  <c r="AD6" i="15"/>
  <c r="AD8" i="15" s="1"/>
  <c r="AB7" i="15" l="1"/>
  <c r="AB6" i="15"/>
  <c r="AA6" i="15"/>
  <c r="AA8" i="15" s="1"/>
  <c r="H40" i="13"/>
  <c r="K40" i="13"/>
  <c r="M40" i="13"/>
  <c r="O40" i="13"/>
  <c r="H39" i="13"/>
  <c r="M39" i="13"/>
  <c r="O39" i="13"/>
  <c r="H36" i="13"/>
  <c r="J36" i="13"/>
  <c r="K36" i="13"/>
  <c r="M36" i="13"/>
  <c r="O36" i="13"/>
  <c r="H33" i="13"/>
  <c r="J33" i="13"/>
  <c r="K33" i="13"/>
  <c r="M33" i="13"/>
  <c r="O33" i="13"/>
  <c r="H30" i="13"/>
  <c r="J30" i="13"/>
  <c r="K30" i="13"/>
  <c r="M30" i="13"/>
  <c r="O30" i="13"/>
  <c r="H29" i="13"/>
  <c r="J29" i="13"/>
  <c r="K29" i="13"/>
  <c r="M29" i="13"/>
  <c r="O29" i="13"/>
  <c r="H28" i="13"/>
  <c r="J28" i="13"/>
  <c r="K28" i="13"/>
  <c r="M28" i="13"/>
  <c r="O28" i="13"/>
  <c r="H27" i="13"/>
  <c r="J27" i="13"/>
  <c r="K27" i="13"/>
  <c r="M27" i="13"/>
  <c r="H25" i="13"/>
  <c r="J25" i="13"/>
  <c r="K25" i="13"/>
  <c r="M25" i="13"/>
  <c r="J22" i="13"/>
  <c r="K22" i="13"/>
  <c r="M22" i="13"/>
  <c r="O22" i="13"/>
  <c r="H20" i="13"/>
  <c r="J20" i="13"/>
  <c r="K20" i="13"/>
  <c r="M20" i="13"/>
  <c r="O20" i="13"/>
  <c r="H19" i="13"/>
  <c r="J19" i="13"/>
  <c r="K19" i="13"/>
  <c r="M19" i="13"/>
  <c r="O19" i="13"/>
  <c r="H13" i="13"/>
  <c r="J13" i="13"/>
  <c r="K13" i="13"/>
  <c r="M13" i="13"/>
  <c r="O13" i="13"/>
  <c r="H11" i="13"/>
  <c r="J11" i="13"/>
  <c r="K11" i="13"/>
  <c r="M11" i="13"/>
  <c r="H10" i="13"/>
  <c r="J10" i="13"/>
  <c r="K10" i="13"/>
  <c r="M10" i="13"/>
  <c r="H9" i="13"/>
  <c r="J9" i="13"/>
  <c r="K9" i="13"/>
  <c r="M9" i="13"/>
  <c r="O9" i="13"/>
  <c r="D10" i="13"/>
  <c r="U20" i="13"/>
  <c r="F21" i="13"/>
  <c r="H33" i="16"/>
  <c r="D142" i="13" l="1"/>
  <c r="G142" i="13"/>
  <c r="F142" i="13"/>
  <c r="AB8" i="15"/>
  <c r="V20" i="13"/>
  <c r="D4" i="23"/>
  <c r="D5" i="23"/>
  <c r="AC8" i="15"/>
  <c r="Y8" i="15"/>
  <c r="AA9" i="15"/>
  <c r="AA10" i="15" s="1"/>
  <c r="O20" i="9"/>
  <c r="N20" i="9"/>
  <c r="F5" i="23" l="1"/>
  <c r="E5" i="23"/>
  <c r="D9" i="10" l="1"/>
  <c r="C9" i="10"/>
  <c r="C21" i="10" l="1"/>
  <c r="D7" i="15" l="1"/>
  <c r="O19" i="9"/>
  <c r="N19" i="9"/>
  <c r="D9" i="15" l="1"/>
  <c r="E9" i="15" l="1"/>
  <c r="E10" i="15" s="1"/>
  <c r="E11" i="15" s="1"/>
  <c r="F9" i="15"/>
  <c r="F10" i="15" s="1"/>
  <c r="F11" i="15" s="1"/>
  <c r="I9" i="15"/>
  <c r="I10" i="15" s="1"/>
  <c r="I11" i="15" s="1"/>
  <c r="J9" i="15"/>
  <c r="J10" i="15" s="1"/>
  <c r="J11" i="15" s="1"/>
  <c r="K9" i="15"/>
  <c r="L9" i="15"/>
  <c r="M9" i="15"/>
  <c r="G9" i="15"/>
  <c r="G10" i="15" s="1"/>
  <c r="G11" i="15" s="1"/>
  <c r="H9" i="15"/>
  <c r="H10" i="15" s="1"/>
  <c r="H11" i="15" s="1"/>
  <c r="E48" i="13"/>
  <c r="E12" i="13"/>
  <c r="G17" i="13"/>
  <c r="D45" i="12"/>
  <c r="O11" i="12"/>
  <c r="G149" i="12"/>
  <c r="K8" i="23" l="1"/>
  <c r="D15" i="10"/>
  <c r="D10" i="15" l="1"/>
  <c r="D56" i="4"/>
  <c r="E56" i="4"/>
  <c r="F56" i="4"/>
  <c r="G56" i="4"/>
  <c r="H56" i="4"/>
  <c r="I56" i="4"/>
  <c r="J56" i="4"/>
  <c r="K56" i="4"/>
  <c r="L56" i="4"/>
  <c r="M56" i="4"/>
  <c r="D57" i="4"/>
  <c r="E57" i="4"/>
  <c r="F57" i="4"/>
  <c r="G57" i="4"/>
  <c r="H57" i="4"/>
  <c r="I57" i="4"/>
  <c r="J57" i="4"/>
  <c r="K57" i="4"/>
  <c r="L57" i="4"/>
  <c r="M57" i="4"/>
  <c r="D58" i="4"/>
  <c r="E58" i="4"/>
  <c r="F58" i="4"/>
  <c r="H58" i="4"/>
  <c r="I58" i="4"/>
  <c r="J58" i="4"/>
  <c r="K58" i="4"/>
  <c r="L58" i="4"/>
  <c r="M58" i="4"/>
  <c r="D59" i="4"/>
  <c r="E59" i="4"/>
  <c r="F59" i="4"/>
  <c r="H59" i="4"/>
  <c r="I59" i="4"/>
  <c r="J59" i="4"/>
  <c r="K59" i="4"/>
  <c r="L59" i="4"/>
  <c r="M59" i="4"/>
  <c r="D60" i="4"/>
  <c r="E60" i="4"/>
  <c r="F60" i="4"/>
  <c r="G60" i="4"/>
  <c r="H60" i="4"/>
  <c r="I60" i="4"/>
  <c r="J60" i="4"/>
  <c r="K60" i="4"/>
  <c r="L60" i="4"/>
  <c r="M60" i="4"/>
  <c r="D55" i="4"/>
  <c r="E55" i="4"/>
  <c r="F55" i="4"/>
  <c r="H55" i="4"/>
  <c r="I55" i="4"/>
  <c r="J55" i="4"/>
  <c r="K55" i="4"/>
  <c r="L55" i="4"/>
  <c r="M55" i="4"/>
  <c r="C60" i="4"/>
  <c r="C59" i="4"/>
  <c r="C58" i="4"/>
  <c r="C57" i="4"/>
  <c r="C56" i="4"/>
  <c r="C55" i="4"/>
  <c r="B55" i="4"/>
  <c r="C40" i="4"/>
  <c r="D9" i="4"/>
  <c r="E9" i="4"/>
  <c r="G9" i="4"/>
  <c r="H9" i="4"/>
  <c r="I9" i="4"/>
  <c r="J9" i="4"/>
  <c r="K9" i="4"/>
  <c r="L9" i="4"/>
  <c r="M9" i="4"/>
  <c r="D10" i="4"/>
  <c r="E10" i="4"/>
  <c r="G10" i="4"/>
  <c r="H10" i="4"/>
  <c r="I10" i="4"/>
  <c r="J10" i="4"/>
  <c r="K10" i="4"/>
  <c r="L10" i="4"/>
  <c r="M10" i="4"/>
  <c r="D11" i="4"/>
  <c r="E11" i="4"/>
  <c r="G11" i="4"/>
  <c r="H11" i="4"/>
  <c r="I11" i="4"/>
  <c r="J11" i="4"/>
  <c r="K11" i="4"/>
  <c r="L11" i="4"/>
  <c r="M11" i="4"/>
  <c r="D12" i="4"/>
  <c r="E12" i="4"/>
  <c r="G12" i="4"/>
  <c r="H12" i="4"/>
  <c r="J12" i="4"/>
  <c r="K12" i="4"/>
  <c r="L12" i="4"/>
  <c r="M12" i="4"/>
  <c r="D8" i="4"/>
  <c r="E8" i="4"/>
  <c r="G8" i="4"/>
  <c r="H8" i="4"/>
  <c r="I8" i="4"/>
  <c r="J8" i="4"/>
  <c r="K8" i="4"/>
  <c r="L8" i="4"/>
  <c r="M8" i="4"/>
  <c r="D7" i="4"/>
  <c r="E7" i="4"/>
  <c r="G7" i="4"/>
  <c r="H7" i="4"/>
  <c r="I7" i="4"/>
  <c r="L7" i="4"/>
  <c r="M7" i="4"/>
  <c r="B60" i="4"/>
  <c r="B59" i="4"/>
  <c r="B58" i="4"/>
  <c r="B57" i="4"/>
  <c r="B56" i="4"/>
  <c r="B9" i="4"/>
  <c r="B10" i="4"/>
  <c r="B11" i="4"/>
  <c r="B12" i="4"/>
  <c r="B8" i="4"/>
  <c r="B7" i="4"/>
  <c r="I13" i="4" l="1"/>
  <c r="L13" i="4"/>
  <c r="M13" i="4"/>
  <c r="K13" i="4"/>
  <c r="H13" i="4"/>
  <c r="B13" i="4"/>
  <c r="G13" i="4"/>
  <c r="E13" i="4"/>
  <c r="D13" i="4"/>
  <c r="C61" i="4"/>
  <c r="N18" i="5" l="1"/>
  <c r="C7" i="4"/>
  <c r="C15" i="10" l="1"/>
  <c r="B5" i="15" l="1"/>
  <c r="F38" i="16" l="1"/>
  <c r="N18" i="9"/>
  <c r="O16" i="9"/>
  <c r="O17" i="9"/>
  <c r="O18" i="9"/>
  <c r="O6" i="9"/>
  <c r="O14" i="9"/>
  <c r="N15" i="9"/>
  <c r="N16" i="9"/>
  <c r="N17" i="9"/>
  <c r="D7" i="23" l="1"/>
  <c r="G29" i="16"/>
  <c r="F44" i="16"/>
  <c r="B61" i="4" l="1"/>
  <c r="C8" i="4"/>
  <c r="C9" i="4"/>
  <c r="C10" i="4"/>
  <c r="C11" i="4"/>
  <c r="C12" i="4"/>
  <c r="G17" i="15" l="1"/>
  <c r="H48" i="16"/>
  <c r="O15" i="9"/>
  <c r="T34" i="16" l="1"/>
  <c r="N40" i="12" l="1"/>
  <c r="M40" i="12"/>
  <c r="E33" i="17" l="1"/>
  <c r="D33" i="17"/>
  <c r="F224" i="16"/>
  <c r="F226" i="16" s="1"/>
  <c r="D217" i="16"/>
  <c r="E194" i="16"/>
  <c r="E196" i="16" s="1"/>
  <c r="E197" i="16" s="1"/>
  <c r="E199" i="16" s="1"/>
  <c r="D167" i="16"/>
  <c r="J165" i="16"/>
  <c r="J166" i="16" s="1"/>
  <c r="G165" i="16"/>
  <c r="F165" i="16"/>
  <c r="K163" i="16"/>
  <c r="I163" i="16"/>
  <c r="G163" i="16"/>
  <c r="F163" i="16"/>
  <c r="E163" i="16"/>
  <c r="J162" i="16"/>
  <c r="J163" i="16" s="1"/>
  <c r="H162" i="16"/>
  <c r="I165" i="16" s="1"/>
  <c r="F155" i="16"/>
  <c r="F154" i="16"/>
  <c r="F153" i="16"/>
  <c r="E152" i="16"/>
  <c r="G153" i="16" s="1"/>
  <c r="H153" i="16" s="1"/>
  <c r="E151" i="16"/>
  <c r="F151" i="16" s="1"/>
  <c r="E150" i="16"/>
  <c r="F150" i="16" s="1"/>
  <c r="E149" i="16"/>
  <c r="F149" i="16" s="1"/>
  <c r="E148" i="16"/>
  <c r="F148" i="16" s="1"/>
  <c r="E147" i="16"/>
  <c r="F147" i="16" s="1"/>
  <c r="C131" i="16"/>
  <c r="F124" i="16"/>
  <c r="J123" i="16"/>
  <c r="I123" i="16"/>
  <c r="H123" i="16"/>
  <c r="G123" i="16"/>
  <c r="F123" i="16"/>
  <c r="F116" i="16"/>
  <c r="F117" i="16" s="1"/>
  <c r="F114" i="16"/>
  <c r="G115" i="16" s="1"/>
  <c r="H113" i="16"/>
  <c r="F108" i="16"/>
  <c r="F109" i="16" s="1"/>
  <c r="C107" i="16"/>
  <c r="C101" i="16"/>
  <c r="C102" i="16" s="1"/>
  <c r="D100" i="16"/>
  <c r="E100" i="16" s="1"/>
  <c r="V60" i="16"/>
  <c r="E52" i="16"/>
  <c r="G52" i="16" s="1"/>
  <c r="G51" i="16"/>
  <c r="Q50" i="16"/>
  <c r="Q51" i="16" s="1"/>
  <c r="E50" i="16"/>
  <c r="S49" i="16"/>
  <c r="S50" i="16" s="1"/>
  <c r="F49" i="16"/>
  <c r="G49" i="16" s="1"/>
  <c r="H49" i="16" s="1"/>
  <c r="I48" i="16"/>
  <c r="F48" i="16"/>
  <c r="G48" i="16" s="1"/>
  <c r="F45" i="16"/>
  <c r="V43" i="16"/>
  <c r="Q43" i="16"/>
  <c r="Q45" i="16" s="1"/>
  <c r="P43" i="16"/>
  <c r="P45" i="16" s="1"/>
  <c r="O43" i="16"/>
  <c r="O45" i="16" s="1"/>
  <c r="N43" i="16"/>
  <c r="E59" i="16" s="1"/>
  <c r="M43" i="16"/>
  <c r="E67" i="16" s="1"/>
  <c r="L43" i="16"/>
  <c r="K43" i="16"/>
  <c r="K45" i="16" s="1"/>
  <c r="J43" i="16"/>
  <c r="J45" i="16" s="1"/>
  <c r="I43" i="16"/>
  <c r="I45" i="16" s="1"/>
  <c r="H43" i="16"/>
  <c r="H45" i="16" s="1"/>
  <c r="G43" i="16"/>
  <c r="G45" i="16" s="1"/>
  <c r="T42" i="16"/>
  <c r="T43" i="16" s="1"/>
  <c r="V41" i="16"/>
  <c r="V45" i="16" s="1"/>
  <c r="U41" i="16"/>
  <c r="U42" i="16" s="1"/>
  <c r="V39" i="16"/>
  <c r="T36" i="16"/>
  <c r="R36" i="16"/>
  <c r="P38" i="16"/>
  <c r="O38" i="16"/>
  <c r="F37" i="16"/>
  <c r="T35" i="16"/>
  <c r="T33" i="16"/>
  <c r="C112" i="15"/>
  <c r="C111" i="15"/>
  <c r="A59" i="15"/>
  <c r="A57" i="15"/>
  <c r="A58" i="15" s="1"/>
  <c r="A56" i="15"/>
  <c r="A55" i="15"/>
  <c r="D53" i="15"/>
  <c r="C43" i="15"/>
  <c r="B43" i="15"/>
  <c r="B44" i="15" s="1"/>
  <c r="B41" i="15"/>
  <c r="B40" i="15"/>
  <c r="C39" i="15"/>
  <c r="H37" i="15"/>
  <c r="B37" i="15"/>
  <c r="H36" i="15"/>
  <c r="B36" i="15"/>
  <c r="H35" i="15"/>
  <c r="H34" i="15"/>
  <c r="S30" i="15"/>
  <c r="R30" i="15"/>
  <c r="C29" i="15"/>
  <c r="X26" i="15"/>
  <c r="G18" i="15"/>
  <c r="V6" i="15"/>
  <c r="W6" i="15" s="1"/>
  <c r="V5" i="15"/>
  <c r="U5" i="15"/>
  <c r="W5" i="15" s="1"/>
  <c r="T5" i="15"/>
  <c r="T7" i="15" s="1"/>
  <c r="S5" i="15"/>
  <c r="R5" i="15"/>
  <c r="B16" i="15" s="1"/>
  <c r="B15" i="15" s="1"/>
  <c r="W4" i="15"/>
  <c r="P4" i="15"/>
  <c r="W3" i="15"/>
  <c r="R263" i="13"/>
  <c r="S263" i="13" s="1"/>
  <c r="S262" i="13"/>
  <c r="S261" i="13"/>
  <c r="R255" i="13"/>
  <c r="R246" i="13"/>
  <c r="S245" i="13"/>
  <c r="S244" i="13"/>
  <c r="S246" i="13" s="1"/>
  <c r="R189" i="13"/>
  <c r="R186" i="13"/>
  <c r="R187" i="13" s="1"/>
  <c r="R182" i="13"/>
  <c r="R183" i="13" s="1"/>
  <c r="P177" i="13"/>
  <c r="P178" i="13" s="1"/>
  <c r="P179" i="13" s="1"/>
  <c r="R176" i="13"/>
  <c r="R177" i="13" s="1"/>
  <c r="R178" i="13" s="1"/>
  <c r="R179" i="13" s="1"/>
  <c r="J162" i="13"/>
  <c r="J163" i="13" s="1"/>
  <c r="J164" i="13" s="1"/>
  <c r="J161" i="13"/>
  <c r="J157" i="13"/>
  <c r="J158" i="13" s="1"/>
  <c r="M156" i="13"/>
  <c r="G147" i="13"/>
  <c r="I18" i="13"/>
  <c r="E143" i="13"/>
  <c r="E142" i="13"/>
  <c r="G141" i="13"/>
  <c r="G18" i="13"/>
  <c r="E141" i="13"/>
  <c r="G140" i="13"/>
  <c r="E140" i="13"/>
  <c r="F139" i="13"/>
  <c r="H137" i="13"/>
  <c r="R135" i="13"/>
  <c r="Q135" i="13"/>
  <c r="M125" i="13"/>
  <c r="M126" i="13" s="1"/>
  <c r="M127" i="13" s="1"/>
  <c r="N118" i="13"/>
  <c r="P116" i="13"/>
  <c r="I116" i="13"/>
  <c r="H114" i="13"/>
  <c r="K114" i="13" s="1"/>
  <c r="A112" i="13"/>
  <c r="R106" i="13"/>
  <c r="P99" i="13"/>
  <c r="P100" i="13" s="1"/>
  <c r="B97" i="13"/>
  <c r="S95" i="13"/>
  <c r="S96" i="13" s="1"/>
  <c r="S97" i="13" s="1"/>
  <c r="T85" i="13"/>
  <c r="N79" i="13"/>
  <c r="N80" i="13" s="1"/>
  <c r="Q77" i="13"/>
  <c r="Q78" i="13" s="1"/>
  <c r="I73" i="13"/>
  <c r="E72" i="13"/>
  <c r="P71" i="13"/>
  <c r="S71" i="13" s="1"/>
  <c r="S72" i="13" s="1"/>
  <c r="J71" i="13"/>
  <c r="J72" i="13" s="1"/>
  <c r="I71" i="13"/>
  <c r="I72" i="13" s="1"/>
  <c r="I68" i="13"/>
  <c r="F67" i="13"/>
  <c r="F66" i="13"/>
  <c r="P64" i="13"/>
  <c r="T63" i="13"/>
  <c r="U63" i="13" s="1"/>
  <c r="Q61" i="13"/>
  <c r="S59" i="13"/>
  <c r="T59" i="13" s="1"/>
  <c r="G54" i="13"/>
  <c r="G48" i="13"/>
  <c r="N36" i="7"/>
  <c r="D40" i="13"/>
  <c r="C36" i="7" s="1"/>
  <c r="N35" i="7"/>
  <c r="M35" i="7"/>
  <c r="L35" i="7"/>
  <c r="K35" i="7"/>
  <c r="J35" i="7"/>
  <c r="E35" i="7"/>
  <c r="D35" i="7"/>
  <c r="D39" i="13"/>
  <c r="C35" i="7" s="1"/>
  <c r="O38" i="13"/>
  <c r="N34" i="7" s="1"/>
  <c r="N38" i="13"/>
  <c r="M34" i="7" s="1"/>
  <c r="M38" i="13"/>
  <c r="L34" i="7" s="1"/>
  <c r="L38" i="13"/>
  <c r="K34" i="7" s="1"/>
  <c r="K38" i="13"/>
  <c r="J34" i="7" s="1"/>
  <c r="J38" i="13"/>
  <c r="I34" i="7" s="1"/>
  <c r="H34" i="7"/>
  <c r="H38" i="13"/>
  <c r="G34" i="7" s="1"/>
  <c r="G38" i="13"/>
  <c r="F34" i="7" s="1"/>
  <c r="F38" i="13"/>
  <c r="E34" i="7" s="1"/>
  <c r="E38" i="13"/>
  <c r="D34" i="7" s="1"/>
  <c r="D38" i="13"/>
  <c r="O37" i="13"/>
  <c r="N33" i="7" s="1"/>
  <c r="N37" i="13"/>
  <c r="M33" i="7" s="1"/>
  <c r="M37" i="13"/>
  <c r="L33" i="7" s="1"/>
  <c r="L37" i="13"/>
  <c r="K33" i="7" s="1"/>
  <c r="K37" i="13"/>
  <c r="J33" i="7" s="1"/>
  <c r="J37" i="13"/>
  <c r="I33" i="7" s="1"/>
  <c r="H33" i="7"/>
  <c r="H37" i="13"/>
  <c r="G33" i="7" s="1"/>
  <c r="G37" i="13"/>
  <c r="F33" i="7" s="1"/>
  <c r="F37" i="13"/>
  <c r="E33" i="7" s="1"/>
  <c r="E37" i="13"/>
  <c r="D33" i="7" s="1"/>
  <c r="D37" i="13"/>
  <c r="C33" i="7" s="1"/>
  <c r="N32" i="7"/>
  <c r="M32" i="7"/>
  <c r="L32" i="7"/>
  <c r="K32" i="7"/>
  <c r="E32" i="7"/>
  <c r="D32" i="7"/>
  <c r="D36" i="13"/>
  <c r="C32" i="7" s="1"/>
  <c r="O35" i="13"/>
  <c r="N31" i="7" s="1"/>
  <c r="N35" i="13"/>
  <c r="M31" i="7" s="1"/>
  <c r="M35" i="13"/>
  <c r="L31" i="7" s="1"/>
  <c r="L35" i="13"/>
  <c r="K31" i="7" s="1"/>
  <c r="K35" i="13"/>
  <c r="J31" i="7" s="1"/>
  <c r="J35" i="13"/>
  <c r="I31" i="7" s="1"/>
  <c r="H31" i="7"/>
  <c r="H35" i="13"/>
  <c r="G31" i="7" s="1"/>
  <c r="G35" i="13"/>
  <c r="F31" i="7" s="1"/>
  <c r="F35" i="13"/>
  <c r="E31" i="7" s="1"/>
  <c r="E35" i="13"/>
  <c r="D31" i="7" s="1"/>
  <c r="D35" i="13"/>
  <c r="C31" i="7" s="1"/>
  <c r="O34" i="13"/>
  <c r="N30" i="7" s="1"/>
  <c r="N34" i="13"/>
  <c r="M30" i="7" s="1"/>
  <c r="M34" i="13"/>
  <c r="L30" i="7" s="1"/>
  <c r="L34" i="13"/>
  <c r="K30" i="7" s="1"/>
  <c r="K34" i="13"/>
  <c r="J30" i="7" s="1"/>
  <c r="J34" i="13"/>
  <c r="I30" i="7" s="1"/>
  <c r="H30" i="7"/>
  <c r="H34" i="13"/>
  <c r="G30" i="7" s="1"/>
  <c r="F34" i="13"/>
  <c r="E30" i="7" s="1"/>
  <c r="E34" i="13"/>
  <c r="D30" i="7" s="1"/>
  <c r="D34" i="13"/>
  <c r="N29" i="7"/>
  <c r="M29" i="7"/>
  <c r="L29" i="7"/>
  <c r="H29" i="7"/>
  <c r="E29" i="7"/>
  <c r="D29" i="7"/>
  <c r="D33" i="13"/>
  <c r="C29" i="7" s="1"/>
  <c r="N31" i="13"/>
  <c r="M31" i="13"/>
  <c r="L28" i="7" s="1"/>
  <c r="L31" i="13"/>
  <c r="K28" i="7" s="1"/>
  <c r="K31" i="13"/>
  <c r="J28" i="7" s="1"/>
  <c r="G31" i="13"/>
  <c r="J27" i="7"/>
  <c r="I27" i="7"/>
  <c r="H27" i="7"/>
  <c r="G27" i="7"/>
  <c r="D27" i="7"/>
  <c r="D30" i="13"/>
  <c r="C27" i="7" s="1"/>
  <c r="M26" i="7"/>
  <c r="L26" i="7"/>
  <c r="K26" i="7"/>
  <c r="J26" i="7"/>
  <c r="I26" i="7"/>
  <c r="H26" i="7"/>
  <c r="D29" i="13"/>
  <c r="C26" i="7" s="1"/>
  <c r="N25" i="7"/>
  <c r="L25" i="7"/>
  <c r="K25" i="7"/>
  <c r="J25" i="7"/>
  <c r="I25" i="7"/>
  <c r="H25" i="7"/>
  <c r="G25" i="7"/>
  <c r="D28" i="13"/>
  <c r="C25" i="7" s="1"/>
  <c r="L24" i="7"/>
  <c r="K24" i="7"/>
  <c r="J24" i="7"/>
  <c r="I24" i="7"/>
  <c r="H24" i="7"/>
  <c r="G24" i="7"/>
  <c r="D27" i="13"/>
  <c r="C24" i="7" s="1"/>
  <c r="N22" i="7"/>
  <c r="M22" i="7"/>
  <c r="L22" i="7"/>
  <c r="K22" i="7"/>
  <c r="J22" i="7"/>
  <c r="E22" i="7"/>
  <c r="D25" i="13"/>
  <c r="C22" i="7" s="1"/>
  <c r="L20" i="7"/>
  <c r="K20" i="7"/>
  <c r="E20" i="7"/>
  <c r="D20" i="7"/>
  <c r="D22" i="13"/>
  <c r="C20" i="7" s="1"/>
  <c r="O21" i="13"/>
  <c r="N19" i="7" s="1"/>
  <c r="N21" i="13"/>
  <c r="M21" i="13"/>
  <c r="L19" i="7" s="1"/>
  <c r="L21" i="13"/>
  <c r="L23" i="13" s="1"/>
  <c r="K21" i="7" s="1"/>
  <c r="K21" i="13"/>
  <c r="K23" i="13" s="1"/>
  <c r="J21" i="7" s="1"/>
  <c r="J21" i="13"/>
  <c r="J23" i="13" s="1"/>
  <c r="I21" i="7" s="1"/>
  <c r="H21" i="7"/>
  <c r="H21" i="13"/>
  <c r="G19" i="7" s="1"/>
  <c r="G21" i="13"/>
  <c r="G23" i="13" s="1"/>
  <c r="F23" i="13"/>
  <c r="E21" i="7" s="1"/>
  <c r="E21" i="13"/>
  <c r="D21" i="13"/>
  <c r="C19" i="7" s="1"/>
  <c r="N18" i="7"/>
  <c r="L18" i="7"/>
  <c r="D18" i="7"/>
  <c r="D20" i="13"/>
  <c r="C18" i="7" s="1"/>
  <c r="N17" i="7"/>
  <c r="M17" i="7"/>
  <c r="L17" i="7"/>
  <c r="H48" i="13"/>
  <c r="D19" i="13"/>
  <c r="C17" i="7" s="1"/>
  <c r="F17" i="13"/>
  <c r="E17" i="13"/>
  <c r="N15" i="7"/>
  <c r="M15" i="7"/>
  <c r="L15" i="7"/>
  <c r="K15" i="7"/>
  <c r="J15" i="7"/>
  <c r="I15" i="7"/>
  <c r="H15" i="7"/>
  <c r="G15" i="7"/>
  <c r="E15" i="7"/>
  <c r="D15" i="7"/>
  <c r="N14" i="7"/>
  <c r="M14" i="7"/>
  <c r="L14" i="7"/>
  <c r="K14" i="7"/>
  <c r="J14" i="7"/>
  <c r="I14" i="7"/>
  <c r="H14" i="7"/>
  <c r="G14" i="7"/>
  <c r="E14" i="7"/>
  <c r="D14" i="7"/>
  <c r="M13" i="7"/>
  <c r="I13" i="7"/>
  <c r="H13" i="7"/>
  <c r="G13" i="7"/>
  <c r="M12" i="13"/>
  <c r="G12" i="13"/>
  <c r="F12" i="13"/>
  <c r="M11" i="7"/>
  <c r="D11" i="7"/>
  <c r="D11" i="13"/>
  <c r="C11" i="7" s="1"/>
  <c r="N10" i="7"/>
  <c r="M10" i="7"/>
  <c r="P10" i="13"/>
  <c r="D10" i="7"/>
  <c r="D149" i="13"/>
  <c r="D148" i="13"/>
  <c r="H9" i="7"/>
  <c r="F100" i="12"/>
  <c r="F93" i="12"/>
  <c r="F94" i="12" s="1"/>
  <c r="F95" i="12" s="1"/>
  <c r="F91" i="12"/>
  <c r="D91" i="12"/>
  <c r="D92" i="12" s="1"/>
  <c r="D98" i="12" s="1"/>
  <c r="D99" i="12" s="1"/>
  <c r="I90" i="12"/>
  <c r="J91" i="12" s="1"/>
  <c r="F90" i="12"/>
  <c r="G90" i="12" s="1"/>
  <c r="K88" i="12"/>
  <c r="K89" i="12" s="1"/>
  <c r="G88" i="12"/>
  <c r="M87" i="12"/>
  <c r="M88" i="12" s="1"/>
  <c r="K86" i="12"/>
  <c r="K85" i="12" s="1"/>
  <c r="K84" i="12" s="1"/>
  <c r="K83" i="12" s="1"/>
  <c r="D79" i="12"/>
  <c r="D80" i="12" s="1"/>
  <c r="D81" i="12" s="1"/>
  <c r="K72" i="12"/>
  <c r="J72" i="12"/>
  <c r="N65" i="12"/>
  <c r="N66" i="12" s="1"/>
  <c r="M65" i="12"/>
  <c r="M66" i="12" s="1"/>
  <c r="L65" i="12"/>
  <c r="K65" i="12"/>
  <c r="J65" i="12"/>
  <c r="I65" i="12"/>
  <c r="H65" i="12"/>
  <c r="G65" i="12"/>
  <c r="F65" i="12"/>
  <c r="E65" i="12"/>
  <c r="D65" i="12"/>
  <c r="P50" i="12"/>
  <c r="P51" i="12" s="1"/>
  <c r="N45" i="12"/>
  <c r="N46" i="12" s="1"/>
  <c r="M45" i="12"/>
  <c r="M46" i="12" s="1"/>
  <c r="L45" i="12"/>
  <c r="K45" i="12"/>
  <c r="J45" i="12"/>
  <c r="I45" i="12"/>
  <c r="H45" i="12"/>
  <c r="G45" i="12"/>
  <c r="F45" i="12"/>
  <c r="E45" i="12"/>
  <c r="P37" i="12"/>
  <c r="O37" i="12"/>
  <c r="P36" i="12"/>
  <c r="O36" i="12"/>
  <c r="P35" i="12"/>
  <c r="P34" i="12"/>
  <c r="P33" i="12"/>
  <c r="O33" i="12"/>
  <c r="P32" i="12"/>
  <c r="P31" i="12"/>
  <c r="O31" i="12"/>
  <c r="P30" i="12"/>
  <c r="O30" i="12"/>
  <c r="P28" i="12"/>
  <c r="O28" i="12"/>
  <c r="P27" i="12"/>
  <c r="O27" i="12"/>
  <c r="P26" i="12"/>
  <c r="O26" i="12"/>
  <c r="P25" i="12"/>
  <c r="O25" i="12"/>
  <c r="P23" i="12"/>
  <c r="O23" i="12"/>
  <c r="P21" i="12"/>
  <c r="O21" i="12"/>
  <c r="P20" i="12"/>
  <c r="O20" i="12"/>
  <c r="P19" i="12"/>
  <c r="O19" i="12"/>
  <c r="P18" i="12"/>
  <c r="O18" i="12"/>
  <c r="P16" i="12"/>
  <c r="O16" i="12"/>
  <c r="P15" i="12"/>
  <c r="O15" i="12"/>
  <c r="O14" i="12"/>
  <c r="P13" i="12"/>
  <c r="O13" i="12"/>
  <c r="P12" i="12"/>
  <c r="P14" i="12"/>
  <c r="P11" i="12"/>
  <c r="P10" i="12"/>
  <c r="O10" i="12"/>
  <c r="P9" i="12"/>
  <c r="N38" i="11"/>
  <c r="M38" i="11"/>
  <c r="L38" i="11"/>
  <c r="K38" i="11"/>
  <c r="J38" i="11"/>
  <c r="I38" i="11"/>
  <c r="H38" i="11"/>
  <c r="G38" i="11"/>
  <c r="F38" i="11"/>
  <c r="E38" i="11"/>
  <c r="D38" i="11"/>
  <c r="C38" i="11"/>
  <c r="N12" i="11"/>
  <c r="M12" i="11"/>
  <c r="L12" i="11"/>
  <c r="K12" i="11"/>
  <c r="J12" i="11"/>
  <c r="I12" i="11"/>
  <c r="H12" i="11"/>
  <c r="G12" i="11"/>
  <c r="K54" i="7"/>
  <c r="O54" i="7" s="1"/>
  <c r="L36" i="7"/>
  <c r="K36" i="7"/>
  <c r="J36" i="7"/>
  <c r="I36" i="7"/>
  <c r="H36" i="7"/>
  <c r="G36" i="7"/>
  <c r="F36" i="7"/>
  <c r="E36" i="7"/>
  <c r="D36" i="7"/>
  <c r="I35" i="7"/>
  <c r="H35" i="7"/>
  <c r="G35" i="7"/>
  <c r="F35" i="7"/>
  <c r="C34" i="7"/>
  <c r="J32" i="7"/>
  <c r="I32" i="7"/>
  <c r="H32" i="7"/>
  <c r="G32" i="7"/>
  <c r="F32" i="7"/>
  <c r="F30" i="7"/>
  <c r="I29" i="7"/>
  <c r="G29" i="7"/>
  <c r="F29" i="7"/>
  <c r="N27" i="7"/>
  <c r="M27" i="7"/>
  <c r="L27" i="7"/>
  <c r="K27" i="7"/>
  <c r="F27" i="7"/>
  <c r="E27" i="7"/>
  <c r="G26" i="7"/>
  <c r="F26" i="7"/>
  <c r="E26" i="7"/>
  <c r="D26" i="7"/>
  <c r="F25" i="7"/>
  <c r="E25" i="7"/>
  <c r="D25" i="7"/>
  <c r="N24" i="7"/>
  <c r="F24" i="7"/>
  <c r="D24" i="7"/>
  <c r="F22" i="7"/>
  <c r="M20" i="7"/>
  <c r="J20" i="7"/>
  <c r="I20" i="7"/>
  <c r="H20" i="7"/>
  <c r="G20" i="7"/>
  <c r="F20" i="7"/>
  <c r="M19" i="7"/>
  <c r="E19" i="7"/>
  <c r="K18" i="7"/>
  <c r="J18" i="7"/>
  <c r="I18" i="7"/>
  <c r="H18" i="7"/>
  <c r="F18" i="7"/>
  <c r="E18" i="7"/>
  <c r="J17" i="7"/>
  <c r="I17" i="7"/>
  <c r="H17" i="7"/>
  <c r="G17" i="7"/>
  <c r="F17" i="7"/>
  <c r="E17" i="7"/>
  <c r="D17" i="7"/>
  <c r="F16" i="7"/>
  <c r="F15" i="7"/>
  <c r="C15" i="7"/>
  <c r="F14" i="7"/>
  <c r="C14" i="7"/>
  <c r="N13" i="7"/>
  <c r="L13" i="7"/>
  <c r="K13" i="7"/>
  <c r="J13" i="7"/>
  <c r="F13" i="7"/>
  <c r="D13" i="7"/>
  <c r="N12" i="7"/>
  <c r="M12" i="7"/>
  <c r="L12" i="7"/>
  <c r="K12" i="7"/>
  <c r="J12" i="7"/>
  <c r="I12" i="7"/>
  <c r="H12" i="7"/>
  <c r="G12" i="7"/>
  <c r="F12" i="7"/>
  <c r="E12" i="7"/>
  <c r="D12" i="7"/>
  <c r="C12" i="7"/>
  <c r="N11" i="7"/>
  <c r="L11" i="7"/>
  <c r="K11" i="7"/>
  <c r="J11" i="7"/>
  <c r="I11" i="7"/>
  <c r="H11" i="7"/>
  <c r="G11" i="7"/>
  <c r="F11" i="7"/>
  <c r="E11" i="7"/>
  <c r="K10" i="7"/>
  <c r="J10" i="7"/>
  <c r="I10" i="7"/>
  <c r="H10" i="7"/>
  <c r="G10" i="7"/>
  <c r="F10" i="7"/>
  <c r="E10" i="7"/>
  <c r="C10" i="7"/>
  <c r="G9" i="7"/>
  <c r="F9" i="7"/>
  <c r="E9" i="7"/>
  <c r="D9" i="7"/>
  <c r="M88" i="4"/>
  <c r="L88" i="4"/>
  <c r="K88" i="4"/>
  <c r="J88" i="4"/>
  <c r="I88" i="4"/>
  <c r="I90" i="4" s="1"/>
  <c r="G88" i="4"/>
  <c r="F88" i="4"/>
  <c r="E88" i="4"/>
  <c r="D88" i="4"/>
  <c r="C88" i="4"/>
  <c r="B88" i="4"/>
  <c r="N87" i="4"/>
  <c r="N86" i="4"/>
  <c r="N85" i="4"/>
  <c r="N84" i="4"/>
  <c r="N83" i="4"/>
  <c r="N82" i="4"/>
  <c r="M75" i="4"/>
  <c r="L75" i="4"/>
  <c r="L61" i="4" s="1"/>
  <c r="K75" i="4"/>
  <c r="J75" i="4"/>
  <c r="I75" i="4"/>
  <c r="H75" i="4"/>
  <c r="G75" i="4"/>
  <c r="G76" i="4" s="1"/>
  <c r="F75" i="4"/>
  <c r="E75" i="4"/>
  <c r="D75" i="4"/>
  <c r="C75" i="4"/>
  <c r="B75" i="4"/>
  <c r="N74" i="4"/>
  <c r="N73" i="4"/>
  <c r="N72" i="4"/>
  <c r="N71" i="4"/>
  <c r="N70" i="4"/>
  <c r="N69" i="4"/>
  <c r="M40" i="4"/>
  <c r="N18" i="6" s="1"/>
  <c r="AN18" i="6" s="1"/>
  <c r="L40" i="4"/>
  <c r="N17" i="6" s="1"/>
  <c r="K40" i="4"/>
  <c r="N16" i="6" s="1"/>
  <c r="G40" i="4"/>
  <c r="N12" i="6" s="1"/>
  <c r="AN12" i="6" s="1"/>
  <c r="F40" i="4"/>
  <c r="N11" i="6" s="1"/>
  <c r="AN11" i="6" s="1"/>
  <c r="E40" i="4"/>
  <c r="D40" i="4"/>
  <c r="B40" i="4"/>
  <c r="L27" i="4"/>
  <c r="AA17" i="6" s="1"/>
  <c r="AN17" i="6" s="1"/>
  <c r="K27" i="4"/>
  <c r="AA16" i="6" s="1"/>
  <c r="AN16" i="6" s="1"/>
  <c r="I27" i="4"/>
  <c r="H27" i="4"/>
  <c r="E27" i="4"/>
  <c r="D27" i="4"/>
  <c r="C27" i="4"/>
  <c r="B27" i="4"/>
  <c r="N26" i="4"/>
  <c r="N12" i="4" s="1"/>
  <c r="N25" i="4"/>
  <c r="N11" i="4" s="1"/>
  <c r="N24" i="4"/>
  <c r="N10" i="4" s="1"/>
  <c r="N23" i="4"/>
  <c r="N9" i="4" s="1"/>
  <c r="N22" i="4"/>
  <c r="N8" i="4" s="1"/>
  <c r="C13" i="4"/>
  <c r="N14" i="9"/>
  <c r="O13" i="9"/>
  <c r="N13" i="9"/>
  <c r="O12" i="9"/>
  <c r="O11" i="9"/>
  <c r="N11" i="9"/>
  <c r="O10" i="9"/>
  <c r="J38" i="16" s="1"/>
  <c r="N10" i="9"/>
  <c r="O9" i="9"/>
  <c r="I38" i="16" s="1"/>
  <c r="N9" i="9"/>
  <c r="O8" i="9"/>
  <c r="N8" i="9"/>
  <c r="O7" i="9"/>
  <c r="N7" i="9"/>
  <c r="N6" i="9"/>
  <c r="K2" i="2"/>
  <c r="E76" i="4" l="1"/>
  <c r="AA14" i="6"/>
  <c r="AN14" i="6" s="1"/>
  <c r="D76" i="4"/>
  <c r="H165" i="16"/>
  <c r="O48" i="16"/>
  <c r="H40" i="12"/>
  <c r="H66" i="12" s="1"/>
  <c r="G24" i="13"/>
  <c r="B98" i="13"/>
  <c r="B99" i="13" s="1"/>
  <c r="G116" i="16"/>
  <c r="I115" i="16"/>
  <c r="H163" i="16"/>
  <c r="F152" i="16"/>
  <c r="U43" i="16"/>
  <c r="J61" i="4"/>
  <c r="K61" i="4"/>
  <c r="K62" i="4" s="1"/>
  <c r="K76" i="4"/>
  <c r="L76" i="4"/>
  <c r="D61" i="4"/>
  <c r="D62" i="4" s="1"/>
  <c r="E61" i="4"/>
  <c r="E62" i="4" s="1"/>
  <c r="K14" i="4"/>
  <c r="H14" i="4"/>
  <c r="H15" i="4" s="1"/>
  <c r="AA13" i="6"/>
  <c r="AN13" i="6" s="1"/>
  <c r="C76" i="4"/>
  <c r="M61" i="4"/>
  <c r="M76" i="4"/>
  <c r="G61" i="4"/>
  <c r="G62" i="4" s="1"/>
  <c r="I61" i="4"/>
  <c r="I62" i="4" s="1"/>
  <c r="L14" i="4"/>
  <c r="M90" i="4"/>
  <c r="H76" i="4"/>
  <c r="H61" i="4"/>
  <c r="H62" i="4" s="1"/>
  <c r="J90" i="4"/>
  <c r="K90" i="4"/>
  <c r="I14" i="4"/>
  <c r="I15" i="4" s="1"/>
  <c r="N55" i="4"/>
  <c r="G14" i="4"/>
  <c r="G15" i="4" s="1"/>
  <c r="N59" i="4"/>
  <c r="N60" i="4"/>
  <c r="F76" i="4"/>
  <c r="N75" i="4"/>
  <c r="F14" i="4"/>
  <c r="F15" i="4" s="1"/>
  <c r="F90" i="4"/>
  <c r="F61" i="4"/>
  <c r="F62" i="4" s="1"/>
  <c r="S98" i="13"/>
  <c r="T98" i="13" s="1"/>
  <c r="S73" i="13"/>
  <c r="G43" i="11"/>
  <c r="C52" i="12"/>
  <c r="D52" i="12" s="1"/>
  <c r="G52" i="12" s="1"/>
  <c r="C51" i="12"/>
  <c r="D51" i="12" s="1"/>
  <c r="G51" i="12" s="1"/>
  <c r="J19" i="7"/>
  <c r="I19" i="7"/>
  <c r="I56" i="12"/>
  <c r="J41" i="13"/>
  <c r="F19" i="7"/>
  <c r="H55" i="12"/>
  <c r="F43" i="11"/>
  <c r="G40" i="12"/>
  <c r="G66" i="12" s="1"/>
  <c r="H23" i="13"/>
  <c r="G21" i="7" s="1"/>
  <c r="K19" i="7"/>
  <c r="G55" i="12"/>
  <c r="H19" i="7"/>
  <c r="C9" i="7"/>
  <c r="K41" i="13"/>
  <c r="G56" i="12"/>
  <c r="L41" i="13"/>
  <c r="D46" i="12"/>
  <c r="D95" i="12"/>
  <c r="D96" i="12" s="1"/>
  <c r="K17" i="13"/>
  <c r="J16" i="7" s="1"/>
  <c r="I37" i="7"/>
  <c r="R30" i="7"/>
  <c r="O30" i="11"/>
  <c r="O31" i="11"/>
  <c r="K43" i="11"/>
  <c r="O33" i="11"/>
  <c r="O31" i="7"/>
  <c r="G41" i="13"/>
  <c r="G43" i="13" s="1"/>
  <c r="G6" i="23" s="1"/>
  <c r="E18" i="13"/>
  <c r="L43" i="11"/>
  <c r="O19" i="11"/>
  <c r="C13" i="7"/>
  <c r="D17" i="13"/>
  <c r="D43" i="13" s="1"/>
  <c r="J17" i="13"/>
  <c r="I16" i="7" s="1"/>
  <c r="H41" i="13"/>
  <c r="I43" i="11"/>
  <c r="Q21" i="13"/>
  <c r="E23" i="13"/>
  <c r="D21" i="7" s="1"/>
  <c r="M41" i="13"/>
  <c r="F138" i="13"/>
  <c r="J43" i="11"/>
  <c r="O34" i="11"/>
  <c r="G138" i="13"/>
  <c r="F18" i="13"/>
  <c r="P7" i="15"/>
  <c r="P3" i="15" s="1"/>
  <c r="P5" i="15" s="1"/>
  <c r="R7" i="15"/>
  <c r="H38" i="15"/>
  <c r="S7" i="15"/>
  <c r="C15" i="15"/>
  <c r="C16" i="15"/>
  <c r="B18" i="15"/>
  <c r="B17" i="15"/>
  <c r="C17" i="15" s="1"/>
  <c r="D17" i="15" s="1"/>
  <c r="U7" i="15"/>
  <c r="V7" i="15"/>
  <c r="A26" i="15"/>
  <c r="A25" i="15"/>
  <c r="L10" i="15"/>
  <c r="K10" i="15"/>
  <c r="R43" i="16"/>
  <c r="S43" i="16" s="1"/>
  <c r="N45" i="16"/>
  <c r="L45" i="16"/>
  <c r="M45" i="16"/>
  <c r="L37" i="7"/>
  <c r="R27" i="7"/>
  <c r="Q25" i="7"/>
  <c r="F44" i="7"/>
  <c r="H141" i="13"/>
  <c r="I141" i="13" s="1"/>
  <c r="G32" i="13"/>
  <c r="F41" i="13"/>
  <c r="F62" i="13" s="1"/>
  <c r="N65" i="13" s="1"/>
  <c r="N66" i="13" s="1"/>
  <c r="O14" i="11"/>
  <c r="E43" i="11"/>
  <c r="G37" i="7"/>
  <c r="F28" i="7"/>
  <c r="E41" i="13"/>
  <c r="K139" i="13" s="1"/>
  <c r="E31" i="13"/>
  <c r="D28" i="7" s="1"/>
  <c r="D22" i="7"/>
  <c r="Q17" i="7"/>
  <c r="O33" i="7"/>
  <c r="O34" i="7"/>
  <c r="D37" i="7"/>
  <c r="E37" i="7"/>
  <c r="F37" i="7"/>
  <c r="H37" i="7"/>
  <c r="Q29" i="7"/>
  <c r="J29" i="7"/>
  <c r="O32" i="11"/>
  <c r="P35" i="13"/>
  <c r="P37" i="13"/>
  <c r="P34" i="13"/>
  <c r="P38" i="13"/>
  <c r="Q36" i="7"/>
  <c r="Q35" i="7"/>
  <c r="F56" i="12"/>
  <c r="F48" i="13"/>
  <c r="K29" i="7"/>
  <c r="K37" i="7" s="1"/>
  <c r="K40" i="12"/>
  <c r="K46" i="12" s="1"/>
  <c r="L54" i="13"/>
  <c r="O41" i="13"/>
  <c r="Q32" i="7"/>
  <c r="H56" i="12"/>
  <c r="H31" i="13"/>
  <c r="G28" i="7" s="1"/>
  <c r="H28" i="7"/>
  <c r="J40" i="12"/>
  <c r="Q40" i="12" s="1"/>
  <c r="S40" i="12" s="1"/>
  <c r="F32" i="13"/>
  <c r="J31" i="13"/>
  <c r="I28" i="7" s="1"/>
  <c r="Q27" i="7"/>
  <c r="R26" i="7"/>
  <c r="I22" i="7"/>
  <c r="Q26" i="7"/>
  <c r="E24" i="7"/>
  <c r="Q24" i="7" s="1"/>
  <c r="D56" i="12"/>
  <c r="G22" i="7"/>
  <c r="P27" i="13"/>
  <c r="O26" i="11"/>
  <c r="Q25" i="13"/>
  <c r="Q29" i="13"/>
  <c r="H22" i="7"/>
  <c r="M24" i="7"/>
  <c r="R24" i="7" s="1"/>
  <c r="E56" i="12"/>
  <c r="Q28" i="13"/>
  <c r="N26" i="7"/>
  <c r="F21" i="7"/>
  <c r="M23" i="13"/>
  <c r="L21" i="7" s="1"/>
  <c r="K17" i="7"/>
  <c r="R17" i="7" s="1"/>
  <c r="D44" i="7"/>
  <c r="D19" i="7"/>
  <c r="D43" i="11"/>
  <c r="P21" i="13"/>
  <c r="F24" i="13"/>
  <c r="Q20" i="7"/>
  <c r="G18" i="7"/>
  <c r="Q18" i="7" s="1"/>
  <c r="H43" i="11"/>
  <c r="O17" i="11"/>
  <c r="L40" i="12"/>
  <c r="L66" i="12" s="1"/>
  <c r="H44" i="7"/>
  <c r="I55" i="12"/>
  <c r="Q15" i="7"/>
  <c r="E13" i="7"/>
  <c r="E44" i="7" s="1"/>
  <c r="F54" i="13"/>
  <c r="I24" i="13"/>
  <c r="J12" i="13"/>
  <c r="E144" i="13"/>
  <c r="G144" i="13"/>
  <c r="J24" i="13" s="1"/>
  <c r="K12" i="13"/>
  <c r="J9" i="7"/>
  <c r="J44" i="7" s="1"/>
  <c r="E145" i="13"/>
  <c r="N43" i="11"/>
  <c r="K48" i="13"/>
  <c r="K24" i="13"/>
  <c r="D147" i="13"/>
  <c r="L9" i="7"/>
  <c r="L44" i="7" s="1"/>
  <c r="M48" i="13"/>
  <c r="N84" i="13"/>
  <c r="N85" i="13" s="1"/>
  <c r="M54" i="13"/>
  <c r="I9" i="7"/>
  <c r="I44" i="7" s="1"/>
  <c r="H17" i="13"/>
  <c r="H43" i="13" s="1"/>
  <c r="E147" i="13"/>
  <c r="F40" i="12"/>
  <c r="F55" i="12"/>
  <c r="I32" i="13"/>
  <c r="L17" i="13"/>
  <c r="E146" i="13"/>
  <c r="D146" i="13"/>
  <c r="K9" i="7"/>
  <c r="L48" i="13"/>
  <c r="G146" i="13"/>
  <c r="L24" i="13" s="1"/>
  <c r="M17" i="13"/>
  <c r="L10" i="7"/>
  <c r="O10" i="7" s="1"/>
  <c r="K54" i="13"/>
  <c r="J48" i="13"/>
  <c r="G44" i="7"/>
  <c r="E40" i="12"/>
  <c r="E55" i="12"/>
  <c r="L12" i="13"/>
  <c r="H142" i="13"/>
  <c r="I142" i="13" s="1"/>
  <c r="F147" i="13"/>
  <c r="M9" i="7"/>
  <c r="M44" i="7" s="1"/>
  <c r="Q11" i="7"/>
  <c r="H54" i="13"/>
  <c r="H140" i="13"/>
  <c r="I140" i="13" s="1"/>
  <c r="E148" i="13"/>
  <c r="F148" i="13"/>
  <c r="J54" i="13"/>
  <c r="G148" i="13"/>
  <c r="R15" i="7"/>
  <c r="O10" i="11"/>
  <c r="Q10" i="7"/>
  <c r="L139" i="13"/>
  <c r="E75" i="13"/>
  <c r="J69" i="12"/>
  <c r="J70" i="12" s="1"/>
  <c r="J71" i="12" s="1"/>
  <c r="J73" i="12" s="1"/>
  <c r="E54" i="13"/>
  <c r="G139" i="13"/>
  <c r="D139" i="13"/>
  <c r="E139" i="13"/>
  <c r="D55" i="12"/>
  <c r="Q14" i="7"/>
  <c r="J5" i="15"/>
  <c r="N56" i="4"/>
  <c r="N57" i="4"/>
  <c r="N58" i="4"/>
  <c r="B76" i="4"/>
  <c r="I76" i="4"/>
  <c r="E14" i="4"/>
  <c r="E15" i="4" s="1"/>
  <c r="C14" i="4"/>
  <c r="C15" i="4" s="1"/>
  <c r="R33" i="16"/>
  <c r="D90" i="4"/>
  <c r="G90" i="4"/>
  <c r="H90" i="4"/>
  <c r="E90" i="4"/>
  <c r="D14" i="4"/>
  <c r="D15" i="4" s="1"/>
  <c r="C42" i="4"/>
  <c r="Q12" i="7"/>
  <c r="N37" i="16"/>
  <c r="N38" i="16"/>
  <c r="M38" i="16"/>
  <c r="M37" i="16"/>
  <c r="I46" i="16"/>
  <c r="I44" i="16"/>
  <c r="G37" i="16"/>
  <c r="J46" i="16"/>
  <c r="J44" i="16"/>
  <c r="L38" i="16"/>
  <c r="L37" i="16"/>
  <c r="H37" i="16"/>
  <c r="K46" i="16"/>
  <c r="K44" i="16"/>
  <c r="O46" i="16"/>
  <c r="I37" i="16"/>
  <c r="J37" i="16"/>
  <c r="K37" i="16"/>
  <c r="O44" i="16"/>
  <c r="R34" i="16"/>
  <c r="R35" i="16" s="1"/>
  <c r="T37" i="16" s="1"/>
  <c r="P44" i="16"/>
  <c r="P48" i="16"/>
  <c r="E61" i="16"/>
  <c r="E69" i="16"/>
  <c r="F51" i="16"/>
  <c r="O36" i="11"/>
  <c r="Q40" i="13"/>
  <c r="O35" i="11"/>
  <c r="Q34" i="13"/>
  <c r="D41" i="13"/>
  <c r="C30" i="7"/>
  <c r="O29" i="11"/>
  <c r="P30" i="13"/>
  <c r="P29" i="12"/>
  <c r="O24" i="11"/>
  <c r="O20" i="11"/>
  <c r="P22" i="13"/>
  <c r="D23" i="13"/>
  <c r="C21" i="7" s="1"/>
  <c r="P20" i="13"/>
  <c r="P22" i="12"/>
  <c r="O18" i="11"/>
  <c r="P19" i="13"/>
  <c r="P17" i="12"/>
  <c r="D54" i="13"/>
  <c r="O11" i="11"/>
  <c r="O12" i="12"/>
  <c r="D138" i="13"/>
  <c r="O12" i="11"/>
  <c r="E138" i="13"/>
  <c r="D48" i="13"/>
  <c r="C43" i="11"/>
  <c r="O38" i="11"/>
  <c r="B62" i="4"/>
  <c r="B14" i="4"/>
  <c r="N40" i="4"/>
  <c r="B90" i="4"/>
  <c r="C62" i="4"/>
  <c r="C90" i="4"/>
  <c r="Q38" i="16"/>
  <c r="Q37" i="16"/>
  <c r="T64" i="13"/>
  <c r="O12" i="7"/>
  <c r="R12" i="7"/>
  <c r="S60" i="13"/>
  <c r="O37" i="16"/>
  <c r="G117" i="16"/>
  <c r="H117" i="16" s="1"/>
  <c r="P46" i="16"/>
  <c r="F118" i="16"/>
  <c r="V35" i="16"/>
  <c r="P37" i="16"/>
  <c r="N37" i="7"/>
  <c r="P33" i="13"/>
  <c r="O27" i="11"/>
  <c r="O25" i="11"/>
  <c r="Q30" i="13"/>
  <c r="O27" i="7"/>
  <c r="P29" i="13"/>
  <c r="O31" i="13"/>
  <c r="O32" i="13" s="1"/>
  <c r="O22" i="11"/>
  <c r="Q22" i="13"/>
  <c r="N20" i="7"/>
  <c r="O20" i="7" s="1"/>
  <c r="O22" i="12"/>
  <c r="O23" i="13"/>
  <c r="N21" i="7" s="1"/>
  <c r="O48" i="13"/>
  <c r="O15" i="11"/>
  <c r="O17" i="13"/>
  <c r="N16" i="7" s="1"/>
  <c r="O13" i="11"/>
  <c r="O45" i="12"/>
  <c r="O54" i="13"/>
  <c r="O12" i="13"/>
  <c r="E149" i="13"/>
  <c r="F149" i="13"/>
  <c r="N9" i="7"/>
  <c r="Q9" i="13"/>
  <c r="G149" i="13"/>
  <c r="O9" i="11"/>
  <c r="M36" i="7"/>
  <c r="M37" i="7" s="1"/>
  <c r="P40" i="13"/>
  <c r="R35" i="7"/>
  <c r="O35" i="7"/>
  <c r="P39" i="13"/>
  <c r="R32" i="7"/>
  <c r="O32" i="7"/>
  <c r="P36" i="13"/>
  <c r="N41" i="13"/>
  <c r="O38" i="12"/>
  <c r="O29" i="12"/>
  <c r="P28" i="13"/>
  <c r="M25" i="7"/>
  <c r="R25" i="7" s="1"/>
  <c r="R22" i="7"/>
  <c r="P25" i="13"/>
  <c r="M28" i="7"/>
  <c r="R20" i="7"/>
  <c r="N23" i="13"/>
  <c r="M21" i="7" s="1"/>
  <c r="M18" i="7"/>
  <c r="Q19" i="13"/>
  <c r="M43" i="11"/>
  <c r="O15" i="7"/>
  <c r="Q15" i="13"/>
  <c r="R14" i="7"/>
  <c r="O14" i="7"/>
  <c r="Q14" i="13"/>
  <c r="R13" i="7"/>
  <c r="P13" i="13"/>
  <c r="O11" i="7"/>
  <c r="R11" i="7"/>
  <c r="N17" i="13"/>
  <c r="M16" i="7" s="1"/>
  <c r="O17" i="12"/>
  <c r="P11" i="13"/>
  <c r="Q11" i="13" s="1"/>
  <c r="N12" i="13"/>
  <c r="N54" i="13"/>
  <c r="O65" i="12"/>
  <c r="N32" i="13"/>
  <c r="P9" i="13"/>
  <c r="N48" i="13"/>
  <c r="N88" i="4"/>
  <c r="L62" i="4"/>
  <c r="D18" i="13" l="1"/>
  <c r="G46" i="16"/>
  <c r="G44" i="16"/>
  <c r="W7" i="15"/>
  <c r="N48" i="16"/>
  <c r="M48" i="16"/>
  <c r="Q48" i="16"/>
  <c r="R48" i="16" s="1"/>
  <c r="D44" i="11"/>
  <c r="D82" i="13"/>
  <c r="P41" i="13"/>
  <c r="O43" i="13"/>
  <c r="H29" i="16"/>
  <c r="E7" i="23"/>
  <c r="I29" i="16"/>
  <c r="F7" i="23"/>
  <c r="B7" i="15"/>
  <c r="B9" i="15" s="1"/>
  <c r="B10" i="15" s="1"/>
  <c r="E60" i="16"/>
  <c r="M46" i="16"/>
  <c r="J43" i="13"/>
  <c r="J51" i="13" s="1"/>
  <c r="J52" i="13" s="1"/>
  <c r="N62" i="4"/>
  <c r="G44" i="11"/>
  <c r="C11" i="15"/>
  <c r="I66" i="12"/>
  <c r="C62" i="12"/>
  <c r="D62" i="12" s="1"/>
  <c r="E62" i="12" s="1"/>
  <c r="Q9" i="7"/>
  <c r="K43" i="13"/>
  <c r="F44" i="11"/>
  <c r="J18" i="13"/>
  <c r="N44" i="11"/>
  <c r="C44" i="7"/>
  <c r="I57" i="12"/>
  <c r="H46" i="12"/>
  <c r="K66" i="12"/>
  <c r="K18" i="13"/>
  <c r="H39" i="12"/>
  <c r="J39" i="12"/>
  <c r="G46" i="12"/>
  <c r="I46" i="12"/>
  <c r="G39" i="12"/>
  <c r="O24" i="13"/>
  <c r="O17" i="7"/>
  <c r="H24" i="13"/>
  <c r="O24" i="7"/>
  <c r="O16" i="11"/>
  <c r="E24" i="13"/>
  <c r="D39" i="12"/>
  <c r="H57" i="12"/>
  <c r="G57" i="12"/>
  <c r="K39" i="12"/>
  <c r="Q13" i="7"/>
  <c r="U13" i="7" s="1"/>
  <c r="J46" i="12"/>
  <c r="J66" i="12"/>
  <c r="F57" i="12"/>
  <c r="O19" i="7"/>
  <c r="J44" i="11"/>
  <c r="I39" i="12"/>
  <c r="K44" i="11"/>
  <c r="S25" i="7"/>
  <c r="O37" i="11"/>
  <c r="K138" i="13"/>
  <c r="O22" i="7"/>
  <c r="E28" i="7"/>
  <c r="Q28" i="7" s="1"/>
  <c r="J140" i="13"/>
  <c r="S27" i="7"/>
  <c r="I44" i="11"/>
  <c r="K44" i="7"/>
  <c r="E44" i="11"/>
  <c r="M138" i="13"/>
  <c r="D24" i="13"/>
  <c r="C44" i="11"/>
  <c r="S15" i="7"/>
  <c r="S26" i="7"/>
  <c r="N46" i="16"/>
  <c r="M10" i="15"/>
  <c r="I13" i="15"/>
  <c r="I14" i="15" s="1"/>
  <c r="H32" i="13"/>
  <c r="I39" i="7"/>
  <c r="I38" i="7" s="1"/>
  <c r="R9" i="7"/>
  <c r="F150" i="13"/>
  <c r="Q22" i="7"/>
  <c r="S22" i="7" s="1"/>
  <c r="S17" i="7"/>
  <c r="O13" i="7"/>
  <c r="N44" i="16"/>
  <c r="M44" i="16"/>
  <c r="R38" i="16"/>
  <c r="C16" i="7"/>
  <c r="C39" i="7" s="1"/>
  <c r="D16" i="7"/>
  <c r="D39" i="7" s="1"/>
  <c r="D45" i="7" s="1"/>
  <c r="F39" i="7"/>
  <c r="F45" i="7" s="1"/>
  <c r="S11" i="7"/>
  <c r="S24" i="7"/>
  <c r="J37" i="7"/>
  <c r="J39" i="7" s="1"/>
  <c r="J45" i="7" s="1"/>
  <c r="R29" i="7"/>
  <c r="H44" i="11"/>
  <c r="L46" i="12"/>
  <c r="O29" i="7"/>
  <c r="O28" i="11"/>
  <c r="E51" i="12"/>
  <c r="F51" i="12" s="1"/>
  <c r="D57" i="12"/>
  <c r="E57" i="12"/>
  <c r="D66" i="12"/>
  <c r="M24" i="13"/>
  <c r="P23" i="13"/>
  <c r="N24" i="13"/>
  <c r="O21" i="11"/>
  <c r="Q21" i="7"/>
  <c r="E43" i="13"/>
  <c r="E6" i="23" s="1"/>
  <c r="G63" i="13"/>
  <c r="G49" i="13"/>
  <c r="G58" i="13"/>
  <c r="G59" i="13" s="1"/>
  <c r="G42" i="13"/>
  <c r="Q15" i="15"/>
  <c r="R15" i="15" s="1"/>
  <c r="S15" i="15" s="1"/>
  <c r="U15" i="15" s="1"/>
  <c r="G55" i="13"/>
  <c r="G56" i="13" s="1"/>
  <c r="G51" i="13"/>
  <c r="G52" i="13" s="1"/>
  <c r="H143" i="13"/>
  <c r="I143" i="13" s="1"/>
  <c r="H144" i="13"/>
  <c r="I144" i="13" s="1"/>
  <c r="J32" i="13"/>
  <c r="E46" i="12"/>
  <c r="E39" i="12"/>
  <c r="E66" i="12"/>
  <c r="F46" i="12"/>
  <c r="F66" i="12"/>
  <c r="F39" i="12"/>
  <c r="F43" i="13"/>
  <c r="E16" i="7"/>
  <c r="G150" i="13"/>
  <c r="H148" i="13"/>
  <c r="I148" i="13" s="1"/>
  <c r="L16" i="7"/>
  <c r="L39" i="7" s="1"/>
  <c r="M43" i="13"/>
  <c r="M18" i="13"/>
  <c r="D150" i="13"/>
  <c r="R10" i="7"/>
  <c r="S10" i="7" s="1"/>
  <c r="L32" i="13"/>
  <c r="H146" i="13"/>
  <c r="I146" i="13" s="1"/>
  <c r="H18" i="13"/>
  <c r="G16" i="7"/>
  <c r="G39" i="7" s="1"/>
  <c r="K16" i="7"/>
  <c r="K39" i="7" s="1"/>
  <c r="L43" i="13"/>
  <c r="L18" i="13"/>
  <c r="L44" i="11"/>
  <c r="P39" i="11"/>
  <c r="O9" i="7"/>
  <c r="H149" i="13"/>
  <c r="I149" i="13" s="1"/>
  <c r="L64" i="13"/>
  <c r="K32" i="13"/>
  <c r="H145" i="13"/>
  <c r="I145" i="13" s="1"/>
  <c r="H16" i="7"/>
  <c r="H39" i="7" s="1"/>
  <c r="I63" i="13"/>
  <c r="M32" i="13"/>
  <c r="H147" i="13"/>
  <c r="I147" i="13" s="1"/>
  <c r="S14" i="7"/>
  <c r="O43" i="11"/>
  <c r="Q43" i="12"/>
  <c r="Q44" i="12" s="1"/>
  <c r="P12" i="13"/>
  <c r="E150" i="13"/>
  <c r="M139" i="13"/>
  <c r="H139" i="13"/>
  <c r="I139" i="13" s="1"/>
  <c r="E32" i="13"/>
  <c r="J139" i="13"/>
  <c r="S12" i="7"/>
  <c r="I5" i="15"/>
  <c r="H13" i="15"/>
  <c r="H14" i="15" s="1"/>
  <c r="D11" i="15"/>
  <c r="H46" i="16"/>
  <c r="H44" i="16"/>
  <c r="C105" i="16"/>
  <c r="C106" i="16" s="1"/>
  <c r="C103" i="16"/>
  <c r="L48" i="16"/>
  <c r="E68" i="16"/>
  <c r="L44" i="16"/>
  <c r="L46" i="16"/>
  <c r="R37" i="16"/>
  <c r="S37" i="16" s="1"/>
  <c r="E51" i="16"/>
  <c r="F52" i="16" s="1"/>
  <c r="F46" i="16"/>
  <c r="O30" i="7"/>
  <c r="Q30" i="7"/>
  <c r="S30" i="7" s="1"/>
  <c r="C37" i="7"/>
  <c r="E52" i="12"/>
  <c r="F52" i="12" s="1"/>
  <c r="K69" i="12"/>
  <c r="K70" i="12" s="1"/>
  <c r="K71" i="12" s="1"/>
  <c r="K73" i="12" s="1"/>
  <c r="P41" i="12"/>
  <c r="P42" i="12" s="1"/>
  <c r="P43" i="12" s="1"/>
  <c r="J106" i="12"/>
  <c r="K106" i="12" s="1"/>
  <c r="K108" i="12" s="1"/>
  <c r="L108" i="12" s="1"/>
  <c r="L109" i="12" s="1"/>
  <c r="K109" i="12" s="1"/>
  <c r="K110" i="12" s="1"/>
  <c r="K111" i="12" s="1"/>
  <c r="E74" i="12"/>
  <c r="E75" i="12" s="1"/>
  <c r="L138" i="13"/>
  <c r="D32" i="13"/>
  <c r="J138" i="13"/>
  <c r="H138" i="13"/>
  <c r="I138" i="13" s="1"/>
  <c r="B15" i="4"/>
  <c r="M62" i="4"/>
  <c r="O15" i="4"/>
  <c r="N61" i="4"/>
  <c r="L11" i="15"/>
  <c r="L13" i="15" s="1"/>
  <c r="L14" i="15" s="1"/>
  <c r="F101" i="16"/>
  <c r="F102" i="16" s="1"/>
  <c r="E101" i="16"/>
  <c r="E102" i="16" s="1"/>
  <c r="Q46" i="16"/>
  <c r="Q44" i="16"/>
  <c r="V38" i="16"/>
  <c r="V37" i="16"/>
  <c r="N28" i="7"/>
  <c r="P31" i="13"/>
  <c r="O18" i="13"/>
  <c r="N44" i="7"/>
  <c r="M44" i="11"/>
  <c r="R36" i="7"/>
  <c r="S36" i="7" s="1"/>
  <c r="O36" i="7"/>
  <c r="O40" i="12"/>
  <c r="R40" i="12" s="1"/>
  <c r="U35" i="7"/>
  <c r="V35" i="7" s="1"/>
  <c r="S35" i="7"/>
  <c r="U32" i="7"/>
  <c r="V32" i="7" s="1"/>
  <c r="S32" i="7"/>
  <c r="R28" i="7"/>
  <c r="U20" i="7"/>
  <c r="S20" i="7"/>
  <c r="O18" i="7"/>
  <c r="R18" i="7"/>
  <c r="S18" i="7" s="1"/>
  <c r="R21" i="7"/>
  <c r="O21" i="7"/>
  <c r="M39" i="7"/>
  <c r="M45" i="7" s="1"/>
  <c r="N18" i="13"/>
  <c r="N43" i="13"/>
  <c r="P17" i="13"/>
  <c r="N93" i="13" s="1"/>
  <c r="N94" i="13" s="1"/>
  <c r="P48" i="13"/>
  <c r="P54" i="13"/>
  <c r="D6" i="23" l="1"/>
  <c r="Q12" i="15"/>
  <c r="R12" i="15" s="1"/>
  <c r="S12" i="15" s="1"/>
  <c r="U12" i="15" s="1"/>
  <c r="F39" i="16" s="1"/>
  <c r="F42" i="16" s="1"/>
  <c r="C13" i="15"/>
  <c r="C14" i="15" s="1"/>
  <c r="C22" i="15" s="1"/>
  <c r="F6" i="23"/>
  <c r="Q14" i="15"/>
  <c r="R14" i="15" s="1"/>
  <c r="S14" i="15" s="1"/>
  <c r="U14" i="15" s="1"/>
  <c r="H39" i="16" s="1"/>
  <c r="N42" i="13"/>
  <c r="P43" i="13"/>
  <c r="P51" i="13" s="1"/>
  <c r="P52" i="13" s="1"/>
  <c r="J42" i="13"/>
  <c r="K51" i="13"/>
  <c r="K52" i="13" s="1"/>
  <c r="J29" i="16"/>
  <c r="J13" i="15"/>
  <c r="J14" i="15" s="1"/>
  <c r="D5" i="15"/>
  <c r="D42" i="13"/>
  <c r="K42" i="13"/>
  <c r="S13" i="7"/>
  <c r="Q19" i="15"/>
  <c r="R19" i="15" s="1"/>
  <c r="S19" i="15" s="1"/>
  <c r="U19" i="15" s="1"/>
  <c r="M39" i="16" s="1"/>
  <c r="M40" i="16" s="1"/>
  <c r="M47" i="16" s="1"/>
  <c r="K58" i="13"/>
  <c r="K59" i="13" s="1"/>
  <c r="S9" i="7"/>
  <c r="K55" i="13"/>
  <c r="K56" i="13" s="1"/>
  <c r="D51" i="13"/>
  <c r="D52" i="13" s="1"/>
  <c r="O44" i="7"/>
  <c r="K49" i="13"/>
  <c r="L63" i="13"/>
  <c r="E39" i="7"/>
  <c r="E38" i="7" s="1"/>
  <c r="I45" i="7"/>
  <c r="O37" i="7"/>
  <c r="O28" i="7"/>
  <c r="F40" i="7"/>
  <c r="J38" i="7"/>
  <c r="P24" i="13"/>
  <c r="Q18" i="15"/>
  <c r="R18" i="15" s="1"/>
  <c r="S18" i="15" s="1"/>
  <c r="U18" i="15" s="1"/>
  <c r="L39" i="16" s="1"/>
  <c r="L42" i="16" s="1"/>
  <c r="J49" i="13"/>
  <c r="E58" i="13"/>
  <c r="E59" i="13" s="1"/>
  <c r="E42" i="13"/>
  <c r="S28" i="7"/>
  <c r="E55" i="13"/>
  <c r="E56" i="13" s="1"/>
  <c r="Q13" i="15"/>
  <c r="R13" i="15" s="1"/>
  <c r="S13" i="15" s="1"/>
  <c r="F38" i="7"/>
  <c r="N88" i="13"/>
  <c r="N89" i="13" s="1"/>
  <c r="O39" i="11"/>
  <c r="E49" i="13"/>
  <c r="S21" i="7"/>
  <c r="D38" i="7"/>
  <c r="J58" i="13"/>
  <c r="J59" i="13" s="1"/>
  <c r="J63" i="13"/>
  <c r="U29" i="7"/>
  <c r="U39" i="7" s="1"/>
  <c r="S29" i="7"/>
  <c r="J55" i="13"/>
  <c r="J56" i="13" s="1"/>
  <c r="E63" i="13"/>
  <c r="I69" i="12"/>
  <c r="I70" i="12" s="1"/>
  <c r="I71" i="12" s="1"/>
  <c r="F75" i="13"/>
  <c r="O46" i="12"/>
  <c r="E51" i="13"/>
  <c r="E52" i="13" s="1"/>
  <c r="I39" i="16"/>
  <c r="S29" i="15"/>
  <c r="E76" i="13"/>
  <c r="F76" i="13" s="1"/>
  <c r="P18" i="13"/>
  <c r="K45" i="7"/>
  <c r="K38" i="7"/>
  <c r="G45" i="7"/>
  <c r="G38" i="7"/>
  <c r="B62" i="13"/>
  <c r="I56" i="13"/>
  <c r="B61" i="13"/>
  <c r="I58" i="13"/>
  <c r="I59" i="13" s="1"/>
  <c r="B63" i="13"/>
  <c r="Q17" i="15"/>
  <c r="R17" i="15" s="1"/>
  <c r="S17" i="15" s="1"/>
  <c r="U17" i="15" s="1"/>
  <c r="K39" i="16" s="1"/>
  <c r="Q16" i="7"/>
  <c r="H45" i="7"/>
  <c r="H38" i="7"/>
  <c r="J44" i="13"/>
  <c r="M58" i="13"/>
  <c r="M59" i="13" s="1"/>
  <c r="M42" i="13"/>
  <c r="M55" i="13"/>
  <c r="M45" i="13"/>
  <c r="P73" i="13" s="1"/>
  <c r="Q24" i="15"/>
  <c r="M49" i="13"/>
  <c r="P65" i="13"/>
  <c r="M51" i="13"/>
  <c r="M52" i="13" s="1"/>
  <c r="L58" i="13"/>
  <c r="L59" i="13" s="1"/>
  <c r="L42" i="13"/>
  <c r="L55" i="13"/>
  <c r="Q23" i="15"/>
  <c r="R23" i="15" s="1"/>
  <c r="S23" i="15" s="1"/>
  <c r="U23" i="15" s="1"/>
  <c r="J12" i="15" s="1"/>
  <c r="L49" i="13"/>
  <c r="L51" i="13"/>
  <c r="L52" i="13" s="1"/>
  <c r="L45" i="7"/>
  <c r="L38" i="7"/>
  <c r="F49" i="13"/>
  <c r="F58" i="13"/>
  <c r="F59" i="13" s="1"/>
  <c r="F55" i="13"/>
  <c r="F56" i="13" s="1"/>
  <c r="F42" i="13"/>
  <c r="F51" i="13"/>
  <c r="F52" i="13" s="1"/>
  <c r="Q16" i="15"/>
  <c r="R16" i="15" s="1"/>
  <c r="S16" i="15" s="1"/>
  <c r="H58" i="13"/>
  <c r="H59" i="13" s="1"/>
  <c r="H42" i="13"/>
  <c r="H55" i="13"/>
  <c r="H56" i="13" s="1"/>
  <c r="H51" i="13"/>
  <c r="H52" i="13" s="1"/>
  <c r="H49" i="13"/>
  <c r="H63" i="13"/>
  <c r="F63" i="13"/>
  <c r="O16" i="7"/>
  <c r="P39" i="12"/>
  <c r="R16" i="7"/>
  <c r="E5" i="15"/>
  <c r="J16" i="15"/>
  <c r="D13" i="15"/>
  <c r="D14" i="15" s="1"/>
  <c r="D22" i="15" s="1"/>
  <c r="C5" i="15"/>
  <c r="Q51" i="13"/>
  <c r="Q52" i="13" s="1"/>
  <c r="Q53" i="13" s="1"/>
  <c r="D49" i="13"/>
  <c r="D57" i="13"/>
  <c r="F44" i="13"/>
  <c r="P159" i="13"/>
  <c r="P161" i="13" s="1"/>
  <c r="P162" i="13" s="1"/>
  <c r="P163" i="13" s="1"/>
  <c r="D55" i="13"/>
  <c r="D56" i="13" s="1"/>
  <c r="N61" i="13"/>
  <c r="D58" i="13"/>
  <c r="D59" i="13" s="1"/>
  <c r="D63" i="13"/>
  <c r="O39" i="12"/>
  <c r="P32" i="13"/>
  <c r="O44" i="11"/>
  <c r="H150" i="13"/>
  <c r="H5" i="15"/>
  <c r="K11" i="15"/>
  <c r="K5" i="15"/>
  <c r="L5" i="15"/>
  <c r="V46" i="16"/>
  <c r="V40" i="16"/>
  <c r="N39" i="7"/>
  <c r="Q104" i="13"/>
  <c r="Q62" i="13"/>
  <c r="Q63" i="13" s="1"/>
  <c r="Q31" i="13"/>
  <c r="Q33" i="13" s="1"/>
  <c r="P84" i="13"/>
  <c r="Q44" i="13"/>
  <c r="Q46" i="13" s="1"/>
  <c r="Q48" i="13" s="1"/>
  <c r="Q49" i="13" s="1"/>
  <c r="Q41" i="13"/>
  <c r="O45" i="13"/>
  <c r="O55" i="13"/>
  <c r="O51" i="13"/>
  <c r="O52" i="13" s="1"/>
  <c r="K45" i="13"/>
  <c r="Q26" i="15"/>
  <c r="R26" i="15" s="1"/>
  <c r="S26" i="15" s="1"/>
  <c r="U26" i="15" s="1"/>
  <c r="O49" i="13"/>
  <c r="O58" i="13"/>
  <c r="O59" i="13" s="1"/>
  <c r="O42" i="13"/>
  <c r="O66" i="12"/>
  <c r="R50" i="12"/>
  <c r="R51" i="12" s="1"/>
  <c r="M38" i="7"/>
  <c r="P40" i="12"/>
  <c r="N55" i="13"/>
  <c r="N49" i="13"/>
  <c r="Q25" i="15"/>
  <c r="W24" i="15" s="1"/>
  <c r="N51" i="13"/>
  <c r="N52" i="13" s="1"/>
  <c r="N58" i="13"/>
  <c r="N59" i="13" s="1"/>
  <c r="N45" i="13"/>
  <c r="F5" i="15"/>
  <c r="F40" i="16" l="1"/>
  <c r="F47" i="16" s="1"/>
  <c r="U16" i="15"/>
  <c r="J39" i="16" s="1"/>
  <c r="E45" i="7"/>
  <c r="M42" i="16"/>
  <c r="I40" i="7"/>
  <c r="E40" i="7"/>
  <c r="H40" i="7"/>
  <c r="I12" i="15"/>
  <c r="H12" i="15"/>
  <c r="O39" i="7"/>
  <c r="Q44" i="7" s="1"/>
  <c r="J40" i="7"/>
  <c r="C38" i="7"/>
  <c r="Q38" i="7" s="1"/>
  <c r="K40" i="7"/>
  <c r="D40" i="7"/>
  <c r="C45" i="7"/>
  <c r="L40" i="7"/>
  <c r="G40" i="7"/>
  <c r="S16" i="7"/>
  <c r="B11" i="15"/>
  <c r="L40" i="16"/>
  <c r="L47" i="16" s="1"/>
  <c r="U13" i="15"/>
  <c r="D12" i="15"/>
  <c r="P42" i="13"/>
  <c r="I42" i="16"/>
  <c r="I40" i="16"/>
  <c r="I47" i="16" s="1"/>
  <c r="R38" i="7"/>
  <c r="N38" i="7"/>
  <c r="B76" i="13"/>
  <c r="H42" i="16"/>
  <c r="H40" i="16"/>
  <c r="H47" i="16" s="1"/>
  <c r="N45" i="7"/>
  <c r="W23" i="15"/>
  <c r="R24" i="15"/>
  <c r="S24" i="15" s="1"/>
  <c r="U24" i="15" s="1"/>
  <c r="O39" i="16" s="1"/>
  <c r="P39" i="7"/>
  <c r="O69" i="13"/>
  <c r="S65" i="13"/>
  <c r="P66" i="13"/>
  <c r="P67" i="13" s="1"/>
  <c r="K42" i="16"/>
  <c r="K40" i="16"/>
  <c r="K47" i="16" s="1"/>
  <c r="P160" i="13"/>
  <c r="P166" i="13" s="1"/>
  <c r="P167" i="13" s="1"/>
  <c r="P168" i="13" s="1"/>
  <c r="P169" i="13" s="1"/>
  <c r="D16" i="15"/>
  <c r="E16" i="15" s="1"/>
  <c r="D15" i="15"/>
  <c r="E12" i="15"/>
  <c r="E13" i="15"/>
  <c r="E14" i="15" s="1"/>
  <c r="G5" i="15"/>
  <c r="M11" i="15"/>
  <c r="M13" i="15" s="1"/>
  <c r="M14" i="15" s="1"/>
  <c r="M5" i="15"/>
  <c r="K13" i="15"/>
  <c r="K14" i="15" s="1"/>
  <c r="P85" i="13"/>
  <c r="P86" i="13"/>
  <c r="Q106" i="13"/>
  <c r="R104" i="13" s="1"/>
  <c r="R102" i="13"/>
  <c r="L80" i="13"/>
  <c r="L81" i="13" s="1"/>
  <c r="P45" i="13"/>
  <c r="P55" i="13"/>
  <c r="Q55" i="13" s="1"/>
  <c r="P58" i="13"/>
  <c r="P59" i="13" s="1"/>
  <c r="Q43" i="13"/>
  <c r="Q39" i="16"/>
  <c r="P49" i="13"/>
  <c r="Q28" i="15"/>
  <c r="Q29" i="15" s="1"/>
  <c r="R25" i="15"/>
  <c r="S25" i="15" s="1"/>
  <c r="U25" i="15" s="1"/>
  <c r="P39" i="16" s="1"/>
  <c r="F13" i="15"/>
  <c r="F14" i="15" s="1"/>
  <c r="F12" i="15"/>
  <c r="J42" i="16" l="1"/>
  <c r="J40" i="16"/>
  <c r="J47" i="16" s="1"/>
  <c r="G39" i="16"/>
  <c r="G40" i="16" s="1"/>
  <c r="G47" i="16" s="1"/>
  <c r="C12" i="15"/>
  <c r="G13" i="15"/>
  <c r="G14" i="15" s="1"/>
  <c r="B12" i="15"/>
  <c r="B13" i="15"/>
  <c r="B14" i="15" s="1"/>
  <c r="O38" i="7"/>
  <c r="O45" i="7"/>
  <c r="N39" i="16"/>
  <c r="N42" i="16" s="1"/>
  <c r="B24" i="15"/>
  <c r="H18" i="15"/>
  <c r="K12" i="15"/>
  <c r="S38" i="7"/>
  <c r="G42" i="16"/>
  <c r="R160" i="13"/>
  <c r="R161" i="13" s="1"/>
  <c r="R162" i="13" s="1"/>
  <c r="R165" i="13" s="1"/>
  <c r="N159" i="13"/>
  <c r="N160" i="13" s="1"/>
  <c r="N162" i="13" s="1"/>
  <c r="O42" i="16"/>
  <c r="O40" i="16"/>
  <c r="O47" i="16" s="1"/>
  <c r="U66" i="13"/>
  <c r="U67" i="13" s="1"/>
  <c r="S66" i="13"/>
  <c r="P171" i="13"/>
  <c r="P172" i="13" s="1"/>
  <c r="G12" i="15"/>
  <c r="M12" i="15"/>
  <c r="S102" i="13"/>
  <c r="R105" i="13"/>
  <c r="Q88" i="13"/>
  <c r="Q86" i="13"/>
  <c r="Q87" i="13" s="1"/>
  <c r="Q40" i="16"/>
  <c r="Q47" i="16" s="1"/>
  <c r="Q42" i="16"/>
  <c r="R28" i="15"/>
  <c r="S28" i="15" s="1"/>
  <c r="T28" i="15" s="1"/>
  <c r="U28" i="15" s="1"/>
  <c r="L12" i="15"/>
  <c r="P42" i="16"/>
  <c r="P40" i="16"/>
  <c r="P47" i="16" s="1"/>
  <c r="N40" i="16" l="1"/>
  <c r="N47" i="16" s="1"/>
  <c r="B22" i="15"/>
  <c r="N22" i="15" s="1"/>
  <c r="T68" i="13"/>
  <c r="S67" i="13"/>
  <c r="R32" i="16" l="1"/>
  <c r="J27" i="4"/>
  <c r="J13" i="4"/>
  <c r="N21" i="4"/>
  <c r="N7" i="4" s="1"/>
  <c r="J76" i="4" l="1"/>
  <c r="AA15" i="6"/>
  <c r="AN15" i="6" s="1"/>
  <c r="N27" i="4"/>
  <c r="N13" i="4"/>
  <c r="J62" i="4"/>
  <c r="Q14" i="4" a="1"/>
  <c r="Q14" i="4" s="1"/>
  <c r="U14" i="4" s="1"/>
  <c r="J14" i="4"/>
  <c r="J15" i="4" s="1"/>
  <c r="F33" i="3" l="1"/>
  <c r="F30" i="3"/>
  <c r="F29" i="3"/>
  <c r="F31" i="3"/>
  <c r="F32" i="3"/>
  <c r="H8" i="23" l="1"/>
  <c r="F23" i="3"/>
  <c r="E4" i="23" s="1"/>
  <c r="F24" i="3"/>
  <c r="F4" i="23" s="1"/>
  <c r="F28" i="3"/>
  <c r="F25" i="3"/>
  <c r="G4" i="23" s="1"/>
  <c r="F27" i="3"/>
  <c r="F26" i="3"/>
  <c r="H4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Moreno Tavarez</author>
  </authors>
  <commentList>
    <comment ref="F21" authorId="0" shapeId="0" xr:uid="{8B7A4B76-6F51-47B9-9E43-D8CDE186D1FD}">
      <text>
        <r>
          <rPr>
            <b/>
            <sz val="9"/>
            <color indexed="81"/>
            <rFont val="Tahoma"/>
            <family val="2"/>
          </rPr>
          <t>Paola Moreno Tavarez:</t>
        </r>
        <r>
          <rPr>
            <sz val="9"/>
            <color indexed="81"/>
            <rFont val="Tahoma"/>
            <family val="2"/>
          </rPr>
          <t xml:space="preserve">
SUMA DE UNIDADES INACTIVOS + UNIDADES RESIDENCIALES Y MIXTOS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Rosanna Rodriguez Hernandez</author>
  </authors>
  <commentList>
    <comment ref="P18" authorId="0" shapeId="0" xr:uid="{7E520549-8B19-43C9-A12E-59B2F8AC7853}">
      <text>
        <r>
          <rPr>
            <b/>
            <sz val="9"/>
            <color indexed="81"/>
            <rFont val="Tahoma"/>
            <family val="2"/>
          </rPr>
          <t>Rosanna Rodriguez Hernandez:</t>
        </r>
        <r>
          <rPr>
            <sz val="9"/>
            <color indexed="81"/>
            <rFont val="Tahoma"/>
            <family val="2"/>
          </rPr>
          <t xml:space="preserve">
En base a la division de las unidades alcantarillado entre los clientes alcantarillado de septiembre se determinó que cada cliente tenia un aproximado de 2 unidades, en base a esto realizamos el calculo de las unidades a partir de enero, ya que no poseemos base de datos para obtener dicho valor.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Rosanna Rodriguez Hernandez</author>
    <author>tc={5E96150F-A811-40FE-AD1C-D0BD1E94E985}</author>
  </authors>
  <commentList>
    <comment ref="C6" authorId="0" shapeId="0" xr:uid="{F3E43C9E-7691-422A-B1DA-B82B9AF2456C}">
      <text>
        <r>
          <rPr>
            <b/>
            <sz val="9"/>
            <color indexed="81"/>
            <rFont val="Tahoma"/>
            <family val="2"/>
          </rPr>
          <t>Rosanna Rodriguez Hernandez:</t>
        </r>
        <r>
          <rPr>
            <sz val="9"/>
            <color indexed="81"/>
            <rFont val="Tahoma"/>
            <family val="2"/>
          </rPr>
          <t xml:space="preserve">
Datos de referencia basados en el ultimo informe enviado por AAA</t>
        </r>
      </text>
    </comment>
    <comment ref="F6" authorId="1" shapeId="0" xr:uid="{5E96150F-A811-40FE-AD1C-D0BD1E94E98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correspondiente al fact estadístico sin mora, este se hizo en base a una proporcion tomada del fact por concepto</t>
      </text>
    </comment>
    <comment ref="F7" authorId="0" shapeId="0" xr:uid="{E518CD36-F980-4ECC-A5D6-E260C7865C2D}">
      <text>
        <r>
          <rPr>
            <b/>
            <sz val="9"/>
            <color indexed="81"/>
            <rFont val="Tahoma"/>
            <family val="2"/>
          </rPr>
          <t>Rosanna Rodriguez Hernandez:</t>
        </r>
        <r>
          <rPr>
            <sz val="9"/>
            <color indexed="81"/>
            <rFont val="Tahoma"/>
            <family val="2"/>
          </rPr>
          <t xml:space="preserve">
valor correspondiente al fact estadístico sin mora, este se hizo en base a una proporcion tomada del fact por concepto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Moreno Tavarez</author>
  </authors>
  <commentList>
    <comment ref="G27" authorId="0" shapeId="0" xr:uid="{1CEE36BF-13A7-45AB-AB0E-A5AD97186B94}">
      <text>
        <r>
          <rPr>
            <b/>
            <sz val="9"/>
            <color indexed="81"/>
            <rFont val="Tahoma"/>
            <family val="2"/>
          </rPr>
          <t>Paola Moreno Tavarez:</t>
        </r>
        <r>
          <rPr>
            <sz val="9"/>
            <color indexed="81"/>
            <rFont val="Tahoma"/>
            <family val="2"/>
          </rPr>
          <t xml:space="preserve">
Estos valores fueron tomados del ultimo informe que envio acea y se le sumo los valores que estan dando el transsacional 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Rosanna Rodriguez Hernandez</author>
  </authors>
  <commentList>
    <comment ref="F8" authorId="0" shapeId="0" xr:uid="{CFD2AF21-8D78-40EB-A721-EE47CD80C34F}">
      <text>
        <r>
          <rPr>
            <b/>
            <sz val="9"/>
            <color indexed="81"/>
            <rFont val="Tahoma"/>
            <family val="2"/>
          </rPr>
          <t>Rosanna Rodriguez Hernandez:</t>
        </r>
        <r>
          <rPr>
            <sz val="9"/>
            <color indexed="81"/>
            <rFont val="Tahoma"/>
            <family val="2"/>
          </rPr>
          <t xml:space="preserve">
Rosanna Rodriguez Hernandez:
en este mes se cambio de 264 a 264.18 por tal razon se presenta cambio en los datos de los meses anteriores.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tc={A20B0287-1FDA-4D32-9785-192F5244EBFA}</author>
    <author>tc={DF68EF3B-4F0B-4C5A-A0F5-38E73B224338}</author>
  </authors>
  <commentList>
    <comment ref="C8" authorId="0" shapeId="0" xr:uid="{A20B0287-1FDA-4D32-9785-192F5244EB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Este valor fue incluido en base a la ultima actualización que presento la dirección de operaciones a fecha de 05/01/2024.</t>
      </text>
    </comment>
    <comment ref="J39" authorId="1" shapeId="0" xr:uid="{DF68EF3B-4F0B-4C5A-A0F5-38E73B22433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valor enviado por operaciones es de 77.82, el cual esta en proceso de revision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tc={16E6B609-80C4-4A8D-A37E-FE927213A748}</author>
    <author/>
    <author>Juan A. Pascual Rober</author>
  </authors>
  <commentList>
    <comment ref="L41" authorId="0" shapeId="0" xr:uid="{16E6B609-80C4-4A8D-A37E-FE927213A74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entrada en operación de nuevas plantas de tratamiento la capacidad aumento de  tratamiento de 85155.91m3/dia a 88006.91m3/dia</t>
      </text>
    </comment>
    <comment ref="V41" authorId="1" shapeId="0" xr:uid="{00ABDB1B-796D-4FC0-B43F-0216EDD49B2E}">
      <text>
        <r>
          <rPr>
            <b/>
            <sz val="9"/>
            <color indexed="8"/>
            <rFont val="Tahoma"/>
            <family val="2"/>
          </rPr>
          <t xml:space="preserve">Katihusca Ledesma:
</t>
        </r>
        <r>
          <rPr>
            <sz val="9"/>
            <color indexed="8"/>
            <rFont val="Tahoma"/>
            <family val="2"/>
          </rPr>
          <t xml:space="preserve">incluye las metas de la terminacion de 4 plantas incorporando 22,334 m3/dia
</t>
        </r>
      </text>
    </comment>
    <comment ref="E52" authorId="2" shapeId="0" xr:uid="{14C7D8DC-7014-4EB9-A3BF-644B7119C7E9}">
      <text>
        <r>
          <rPr>
            <b/>
            <sz val="9"/>
            <color indexed="81"/>
            <rFont val="Tahoma"/>
            <family val="2"/>
          </rPr>
          <t>Juan A. Pascual Rober:</t>
        </r>
        <r>
          <rPr>
            <sz val="9"/>
            <color indexed="81"/>
            <rFont val="Tahoma"/>
            <family val="2"/>
          </rPr>
          <t xml:space="preserve">
Acá, no se está incluyendo la Zurza, hasta nuevo aviso.</t>
        </r>
      </text>
    </comment>
    <comment ref="E61" authorId="2" shapeId="0" xr:uid="{F0B99234-D4D1-4F69-8C72-97BF30BEAFC1}">
      <text>
        <r>
          <rPr>
            <b/>
            <sz val="9"/>
            <color indexed="81"/>
            <rFont val="Tahoma"/>
            <family val="2"/>
          </rPr>
          <t>Juan A. Pascual Rober:</t>
        </r>
        <r>
          <rPr>
            <sz val="9"/>
            <color indexed="81"/>
            <rFont val="Tahoma"/>
            <family val="2"/>
          </rPr>
          <t xml:space="preserve">
Acá, no se está incluyendo la Zurza, hasta nuevo aviso.</t>
        </r>
      </text>
    </comment>
    <comment ref="E69" authorId="2" shapeId="0" xr:uid="{9350E1F8-7FCB-42C4-84F0-CF41B1F621BE}">
      <text>
        <r>
          <rPr>
            <b/>
            <sz val="9"/>
            <color indexed="81"/>
            <rFont val="Tahoma"/>
            <family val="2"/>
          </rPr>
          <t>Juan A. Pascual Rober:</t>
        </r>
        <r>
          <rPr>
            <sz val="9"/>
            <color indexed="81"/>
            <rFont val="Tahoma"/>
            <family val="2"/>
          </rPr>
          <t xml:space="preserve">
Acá, no se está incluyendo la Zurza, hasta nuevo aviso.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Rosanna Rodriguez Hernandez</author>
  </authors>
  <commentList>
    <comment ref="L8" authorId="0" shapeId="0" xr:uid="{AF747CD4-D3DA-4152-8981-8E13D8476254}">
      <text>
        <r>
          <rPr>
            <b/>
            <sz val="9"/>
            <color indexed="81"/>
            <rFont val="Tahoma"/>
            <family val="2"/>
          </rPr>
          <t>Rosanna Rodriguez Hernandez:</t>
        </r>
        <r>
          <rPr>
            <sz val="9"/>
            <color indexed="81"/>
            <rFont val="Tahoma"/>
            <family val="2"/>
          </rPr>
          <t xml:space="preserve">
Valor tomado del informe interrupciones abastecimiento 2024 recibido por correo el 30/01/2025</t>
        </r>
      </text>
    </comment>
    <comment ref="M8" authorId="0" shapeId="0" xr:uid="{53106AF2-AD10-465D-8A11-06FEDBC6D30C}">
      <text>
        <r>
          <rPr>
            <b/>
            <sz val="9"/>
            <color indexed="81"/>
            <rFont val="Tahoma"/>
            <family val="2"/>
          </rPr>
          <t>Rosanna Rodriguez Hernandez:</t>
        </r>
        <r>
          <rPr>
            <sz val="9"/>
            <color indexed="81"/>
            <rFont val="Tahoma"/>
            <family val="2"/>
          </rPr>
          <t xml:space="preserve">
Valor tomado del informe interrupciones abastecimiento 2024 recibido por correo el 30/01/2025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<sst xmlns="http://schemas.openxmlformats.org/spreadsheetml/2006/main" count="1808" uniqueCount="627">
  <si>
    <t>FACTURACION POR TIPO DE CLIENTES (USO)</t>
  </si>
  <si>
    <t>SOLO AGUA POTABLE Y ALCANTARILLADO</t>
  </si>
  <si>
    <t>FAC RESIDENCIAL NOROESTE-SUROESTE</t>
  </si>
  <si>
    <t>FAC INDUSTRIAL NOROESTE-SUROESTE</t>
  </si>
  <si>
    <t>FAC COMERCIAL NOROESTE-SUROESTE</t>
  </si>
  <si>
    <t>FAC OFICIAL NOROESTE-SUROESTE</t>
  </si>
  <si>
    <t>FAC MIXTO RES-COMER NOROESTE-SUROESTE</t>
  </si>
  <si>
    <t>FAC OTROS NOROESTE-SUROESTE</t>
  </si>
  <si>
    <t>FAC RESIDENCIAL NORTE-ESTE</t>
  </si>
  <si>
    <t>FAC INDUSTRIAL NORTE-ESTE</t>
  </si>
  <si>
    <t>FAC COMERCIAL NORTE-ESTE</t>
  </si>
  <si>
    <t>FAC OFICIAL NORTE-ESTE</t>
  </si>
  <si>
    <t>FAC MIXTO RES Y COM NORTE-ESTE</t>
  </si>
  <si>
    <t>FAC OTROS NORTE-ESTE</t>
  </si>
  <si>
    <t>FACTURACIÓN TOTAL</t>
  </si>
  <si>
    <t>CANTIDAD DE CLIENTES POR USO</t>
  </si>
  <si>
    <t>2023-2025</t>
  </si>
  <si>
    <t>CLIENTES COMERCIAL NOROESTE-SUROESTE</t>
  </si>
  <si>
    <t>CLIENTES OFICIAL NOROESTE-SUROESTE</t>
  </si>
  <si>
    <t>CLIENTES OTROS NOROESTE-SUROESTE</t>
  </si>
  <si>
    <t>CLIENTES RESIDENCIAL NORTE-ESTE</t>
  </si>
  <si>
    <t>CLIENTES INDUSTRIAL NORTE-ESTE</t>
  </si>
  <si>
    <t>CLIENTES COMERCIAL NORTE-ESTE</t>
  </si>
  <si>
    <t>CLIENTES OFICIAL NORTE-ESTE</t>
  </si>
  <si>
    <t>CLIENTES OTROS NORTE-ESTE</t>
  </si>
  <si>
    <t>CLIENTES TOTAL</t>
  </si>
  <si>
    <t>UNIDADES RESIDENCIAL NOROESTE-SUROESTE</t>
  </si>
  <si>
    <t>UNIDADES  INDUSTRIAL NOROESTE-SUROESTE</t>
  </si>
  <si>
    <t>UNIDADES  COMERCIAL NOROESTE-SUROESTE</t>
  </si>
  <si>
    <t>UNIDADES  OFICIAL NOROESTE-SUROESTE</t>
  </si>
  <si>
    <t>UNIDADES  MIXTO RES-COMER NOROESTE-SUROESTE</t>
  </si>
  <si>
    <t>UNIDADES  OTROS NOROESTE-SUROESTE</t>
  </si>
  <si>
    <t>UNIDADES  RESIDENCIAL NORTE-ESTE</t>
  </si>
  <si>
    <t>UNIDADES  INDUSTRIAL NORTE-ESTE</t>
  </si>
  <si>
    <t>UNIDADES  COMERCIAL NORTE-ESTE</t>
  </si>
  <si>
    <t>UNIDADES  OFICIAL NORTE-ESTE</t>
  </si>
  <si>
    <t>UNIDADES  MIXTO RES Y COM NORTE-ESTE</t>
  </si>
  <si>
    <t>UNIDADES  OTROS NORTE-ESTE</t>
  </si>
  <si>
    <t>UNIDADES  TOTAL</t>
  </si>
  <si>
    <t>CORPORACION DEL ACUEDUCTO Y ALCANTARILLADO DE SANTO DOMINGO</t>
  </si>
  <si>
    <t>CAASD</t>
  </si>
  <si>
    <t>DIRECCION DE PLANIFICACION</t>
  </si>
  <si>
    <t>Residenciales</t>
  </si>
  <si>
    <t>Mixto</t>
  </si>
  <si>
    <t>Oficiales</t>
  </si>
  <si>
    <t>Industriales</t>
  </si>
  <si>
    <t>Comerciales</t>
  </si>
  <si>
    <t>OTROS</t>
  </si>
  <si>
    <t>CATEGORIA DE CLIENTES</t>
  </si>
  <si>
    <t>TOTAL</t>
  </si>
  <si>
    <t>GERENCIA COMERCIAL NORTE / ESTE</t>
  </si>
  <si>
    <t>GERENCIA COMERCIAL NOROESTE / SUROESTE</t>
  </si>
  <si>
    <t>*OTROS</t>
  </si>
  <si>
    <t>Nota: Los otros incluyen los clientes sin fines de lucro, las zonas francas y otros tipos de usuarios.</t>
  </si>
  <si>
    <t>SUB-DIRECCION DE PLANIFICACION</t>
  </si>
  <si>
    <t>GERENCIA DE PLANIFICACION</t>
  </si>
  <si>
    <t>AGUA DE POZOS PRIVADAS</t>
  </si>
  <si>
    <t>*OTROS INCLUYE USUARIOS SIN FINES DE LUCRO, ZONAS FRANCAS, ETC.</t>
  </si>
  <si>
    <t>RECAUDACION RESIDENCIAL NOROESTE-SUROESTE</t>
  </si>
  <si>
    <t>RECAUDACION INDUSTRIAL NOROESTE-SUROESTE</t>
  </si>
  <si>
    <t>RECAUDACION COMERCIAL NOROESTE-SUROESTE</t>
  </si>
  <si>
    <t>RECAUDACION OFICIAL NOROESTE-SUROESTE</t>
  </si>
  <si>
    <t>RECAUDACION MIXTO RES-COMER NOROESTE-SUROESTE</t>
  </si>
  <si>
    <t>RECAUDACION OTROS NOROESTE-SUROESTE</t>
  </si>
  <si>
    <t>RECAUDACION RESIDENCIAL NORTE-ESTE</t>
  </si>
  <si>
    <t>RECAUDACION INDUSTRIAL NORTE-ESTE</t>
  </si>
  <si>
    <t>RECAUDACION COMERCIAL NORTE-ESTE</t>
  </si>
  <si>
    <t>RECAUDACION MIXTO RES Y COM NORTE-ESTE</t>
  </si>
  <si>
    <t>RECAUDACION OTROS NORTE-ESTE</t>
  </si>
  <si>
    <t>RECAUDACION TOTAL</t>
  </si>
  <si>
    <t>CORPORACIÓN DEL ACUEDUCTO Y ALCANTARILLADO DE SANTO DOMINGO</t>
  </si>
  <si>
    <t>RESUMEN ESTADISTICO DE LA FACTURACION Y LOS INGRESOS DE LA GESTION COMERCIAL CONTRATADA</t>
  </si>
  <si>
    <t>Meses</t>
  </si>
  <si>
    <t>USUARIO ACTIVOS</t>
  </si>
  <si>
    <t>USUARIOS INACTIVOS</t>
  </si>
  <si>
    <t>MEDIDORES INSTALADOS</t>
  </si>
  <si>
    <t>UNIVERSO DE CLIENTES</t>
  </si>
  <si>
    <t>CANTIDAD DE PAGOS</t>
  </si>
  <si>
    <t>EFICIENCIA COBRANZA %</t>
  </si>
  <si>
    <t>INDICE DE PAGOS % UNIVERSO</t>
  </si>
  <si>
    <t>INDICE DE PAGOS %</t>
  </si>
  <si>
    <t>M3 de agua facturado
(consumidos)</t>
  </si>
  <si>
    <t>M3 FACTURADOS</t>
  </si>
  <si>
    <t>PROMEDIO DIARIO DE LA RECAUDACION</t>
  </si>
  <si>
    <t>RECAUDACION POR EMPLEADO FIJO</t>
  </si>
  <si>
    <t>USUARIO ACTIVOS CAASD (Noroeste-Suroeste)</t>
  </si>
  <si>
    <t>FACTURADO SIN MORA
RD$</t>
  </si>
  <si>
    <t>RECAUDADO SIN MORA
RD$</t>
  </si>
  <si>
    <t>FACTURADO CON MORA
RD$</t>
  </si>
  <si>
    <t>RECAUDADO CON MORA
RD$</t>
  </si>
  <si>
    <t xml:space="preserve">SOLO AGUA POTABLE </t>
  </si>
  <si>
    <t>CLIENTES AGUA RESIDENCIAL NOROESTE-SUROESTE</t>
  </si>
  <si>
    <t>CLIENTES AGUA INDUSTRIAL NOROESTE-SUROESTE</t>
  </si>
  <si>
    <t>CLIENTES AGUA COMERCIAL NOROESTE-SUROESTE</t>
  </si>
  <si>
    <t>CLIENTES AGUA OFICIAL NOROESTE-SUROESTE</t>
  </si>
  <si>
    <t>CLIENTES AGUA MIXTO RES-COMER NOROESTE-SUROESTE</t>
  </si>
  <si>
    <t>CLIENTES AGUA OTROS NOROESTE-SUROESTE</t>
  </si>
  <si>
    <t>CLIENTES AGUA RESIDENCIAL NORTE-ESTE</t>
  </si>
  <si>
    <t>CLIENTES AGUA INDUSTRIAL NORTE-ESTE</t>
  </si>
  <si>
    <t>CLIENTES AGUA OFICIAL NORTE-ESTE</t>
  </si>
  <si>
    <t>CLIENTES AGUA MIXTO RES Y COM NORTE-ESTE</t>
  </si>
  <si>
    <t>CLIENTES AGUA OTROS NORTE-ESTE</t>
  </si>
  <si>
    <t>CLIENTES AGUA TOTAL</t>
  </si>
  <si>
    <t>CLIENTES ALCANTARILLADO RESIDENCIAL NOROESTE-SUROESTE</t>
  </si>
  <si>
    <t>CLIENTES INDUSTRIAL NOROESTE-SUROESTE</t>
  </si>
  <si>
    <t>CLIENTES MIXTOS RES-COMER NOROESTE-SUROESTE</t>
  </si>
  <si>
    <t xml:space="preserve"> </t>
  </si>
  <si>
    <t>SOLO ALCANTARILLADO</t>
  </si>
  <si>
    <t>Mes</t>
  </si>
  <si>
    <t>Total Suroeste</t>
  </si>
  <si>
    <t>Total Noroeste</t>
  </si>
  <si>
    <t>Total Este</t>
  </si>
  <si>
    <t>Total Norte</t>
  </si>
  <si>
    <t>Cantidad Clientes Agua</t>
  </si>
  <si>
    <t>Cantidad Clientes Alcantarillado</t>
  </si>
  <si>
    <t>EN MILLONES DE METROS CUBICOS POR SEGUNDO</t>
  </si>
  <si>
    <t>SISTEMAS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</si>
  <si>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</si>
  <si>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</si>
  <si>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</si>
  <si>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</si>
  <si>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</si>
  <si>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</si>
  <si>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</si>
  <si>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</si>
  <si>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</si>
  <si>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</si>
  <si>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</si>
  <si>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</si>
  <si>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/ Sistemas</t>
  </si>
  <si>
    <t>Nucleo Central</t>
  </si>
  <si>
    <t>Valdesia</t>
  </si>
  <si>
    <t>GERENCIA NOROESTE</t>
  </si>
  <si>
    <t>Isa-Mana</t>
  </si>
  <si>
    <t>Duey-Guananitos</t>
  </si>
  <si>
    <t>Sistema por Gravedad</t>
  </si>
  <si>
    <t>La Isabela</t>
  </si>
  <si>
    <t>Lecheria</t>
  </si>
  <si>
    <t>Sectoriales</t>
  </si>
  <si>
    <t>Total GNO</t>
  </si>
  <si>
    <t>Plantas Haina</t>
  </si>
  <si>
    <t>Campo de Pozos El Café</t>
  </si>
  <si>
    <t>Las Caobas</t>
  </si>
  <si>
    <t>Sistema Sectorial</t>
  </si>
  <si>
    <t>Total GSO</t>
  </si>
  <si>
    <t>Mata-Mamon</t>
  </si>
  <si>
    <t>GERENCIA NORTE</t>
  </si>
  <si>
    <t>Sabana Perdida</t>
  </si>
  <si>
    <t>San Felipe</t>
  </si>
  <si>
    <t>Guaricano</t>
  </si>
  <si>
    <t>Total GN</t>
  </si>
  <si>
    <t>Los Marenos</t>
  </si>
  <si>
    <t>GERENCIA ESTE</t>
  </si>
  <si>
    <t>El Naranjo</t>
  </si>
  <si>
    <t>La Catalina</t>
  </si>
  <si>
    <t>La Joya</t>
  </si>
  <si>
    <t>La Caleta</t>
  </si>
  <si>
    <t>Brujuela</t>
  </si>
  <si>
    <t>Barrera de salinidad</t>
  </si>
  <si>
    <t>Total GE</t>
  </si>
  <si>
    <t>Sistema por Bombeo</t>
  </si>
  <si>
    <t>Total General</t>
  </si>
  <si>
    <t>TRATAMIENTO DE LOS SISTEMAS VS PRODUCCION</t>
  </si>
  <si>
    <t>TIPO DE TRATAMIENTO</t>
  </si>
  <si>
    <t xml:space="preserve">Tratamiento Completo </t>
  </si>
  <si>
    <t>Tratamiento Simple</t>
  </si>
  <si>
    <t>factor para llevar a m3/seg.</t>
  </si>
  <si>
    <t>EN METROS CUBICOS</t>
  </si>
  <si>
    <t>Total Promedio/ Sistemas</t>
  </si>
  <si>
    <t>PEDIR INFORMACION A LISET. 3366</t>
  </si>
  <si>
    <t>TRATAMIENTO DE LOS SISTEMAS</t>
  </si>
  <si>
    <t xml:space="preserve">NOTA: LA PRODUCCION FUE LLEVADA A M3 CON LA SIGUIENTE [1GALON = 3.785 LITROS, 1M3 = 1000 LTS.]  POR TANTO </t>
  </si>
  <si>
    <t>1 M3       =</t>
  </si>
  <si>
    <t>1,000 LTS.</t>
  </si>
  <si>
    <t>1 M3   *</t>
  </si>
  <si>
    <t>3.785 Lts</t>
  </si>
  <si>
    <t>=</t>
  </si>
  <si>
    <t>3.785 M3</t>
  </si>
  <si>
    <t>0.003785 M3</t>
  </si>
  <si>
    <t xml:space="preserve">   X          =</t>
  </si>
  <si>
    <t>3.785 LTS.</t>
  </si>
  <si>
    <t>1000 Lts</t>
  </si>
  <si>
    <t>PRODUCCION DE AGUA, AÑO 2022</t>
  </si>
  <si>
    <t>EN MILLONES DE GALONES</t>
  </si>
  <si>
    <t>VALORES EN MG</t>
  </si>
  <si>
    <t>Los Montones</t>
  </si>
  <si>
    <t>GERENCIA SUROESTE</t>
  </si>
  <si>
    <t>GALONES</t>
  </si>
  <si>
    <t>M3</t>
  </si>
  <si>
    <t>PROM M 3</t>
  </si>
  <si>
    <t>PROM GLS</t>
  </si>
  <si>
    <t>ORIENTAL</t>
  </si>
  <si>
    <t>OESTE</t>
  </si>
  <si>
    <t>NOROESTE/SUROESTE</t>
  </si>
  <si>
    <t>NORTE/ESTE</t>
  </si>
  <si>
    <t>m3/seg</t>
  </si>
  <si>
    <t>m3xm</t>
  </si>
  <si>
    <t>m3xh</t>
  </si>
  <si>
    <t>m3xd</t>
  </si>
  <si>
    <t>g x d</t>
  </si>
  <si>
    <t>gps</t>
  </si>
  <si>
    <t>lps</t>
  </si>
  <si>
    <t>gpm</t>
  </si>
  <si>
    <t>conv lps a gps=</t>
  </si>
  <si>
    <t>gph</t>
  </si>
  <si>
    <t>galones x dia</t>
  </si>
  <si>
    <t>mgd</t>
  </si>
  <si>
    <t>galones x mes</t>
  </si>
  <si>
    <t>PROMEDIO DIARIO ANUALIZADOS</t>
  </si>
  <si>
    <t>VALORES EN MGD</t>
  </si>
  <si>
    <t>OBSERVACIONES</t>
  </si>
  <si>
    <t>NOROESTE</t>
  </si>
  <si>
    <t>SUROESTE</t>
  </si>
  <si>
    <t>NORTE</t>
  </si>
  <si>
    <t>GNO+VALD</t>
  </si>
  <si>
    <t>GSO+VALD</t>
  </si>
  <si>
    <t>GN+VALD</t>
  </si>
  <si>
    <t>m3/d</t>
  </si>
  <si>
    <t>TIPO DE CAPTACION</t>
  </si>
  <si>
    <t>GRAVEDAD</t>
  </si>
  <si>
    <t>BOMBEO</t>
  </si>
  <si>
    <t>TIPO DE FUENTE</t>
  </si>
  <si>
    <t>SUPERFICIAL</t>
  </si>
  <si>
    <t>SUBTERRANEO</t>
  </si>
  <si>
    <t>% agua subterranea</t>
  </si>
  <si>
    <t>lts/d</t>
  </si>
  <si>
    <t>millones m3/d</t>
  </si>
  <si>
    <t>millones lts/dia</t>
  </si>
  <si>
    <t>dotacion zona oriental</t>
  </si>
  <si>
    <t>hab oriental</t>
  </si>
  <si>
    <t>hag</t>
  </si>
  <si>
    <t>ltros/d</t>
  </si>
  <si>
    <t>gls/d</t>
  </si>
  <si>
    <t>Ltros/hab/dia</t>
  </si>
  <si>
    <t>g/hab/diaro</t>
  </si>
  <si>
    <t>gls/dia</t>
  </si>
  <si>
    <t>dotacion</t>
  </si>
  <si>
    <t>Otros Sistemas Sectoriales / P</t>
  </si>
  <si>
    <t>gravedad</t>
  </si>
  <si>
    <t>Sabana Perdida / P</t>
  </si>
  <si>
    <t>bombeo</t>
  </si>
  <si>
    <t>Mata-Mamón / P</t>
  </si>
  <si>
    <t>Los Marenos / P</t>
  </si>
  <si>
    <t>hab</t>
  </si>
  <si>
    <t>La Catalina / P</t>
  </si>
  <si>
    <t>La Joya / P</t>
  </si>
  <si>
    <t>La Caleta / P</t>
  </si>
  <si>
    <t>Brujuelas – Casuí / P</t>
  </si>
  <si>
    <t>hab. Distrito</t>
  </si>
  <si>
    <t>hab norte</t>
  </si>
  <si>
    <t>l/dia</t>
  </si>
  <si>
    <t>l/h/d</t>
  </si>
  <si>
    <t>TOTAL PROMEDIO</t>
  </si>
  <si>
    <t>mun norte y este</t>
  </si>
  <si>
    <t>gpd</t>
  </si>
  <si>
    <t>.</t>
  </si>
  <si>
    <t>mps</t>
  </si>
  <si>
    <t>APORTE DE VALDESIA EN LA PRODUCCION DISPONIBLE POR ZONA</t>
  </si>
  <si>
    <t>MESES</t>
  </si>
  <si>
    <t>ESTE</t>
  </si>
  <si>
    <t>TOTAL VALDESIA</t>
  </si>
  <si>
    <t>gd</t>
  </si>
  <si>
    <t>g/hab/dia</t>
  </si>
  <si>
    <t>mg/s</t>
  </si>
  <si>
    <t>m3/hab/dia</t>
  </si>
  <si>
    <t>litros/hab/dia</t>
  </si>
  <si>
    <t>l/seg</t>
  </si>
  <si>
    <t>g/h/d</t>
  </si>
  <si>
    <t>g/h/mes</t>
  </si>
  <si>
    <t>m/h/mes</t>
  </si>
  <si>
    <t>l/h/mes</t>
  </si>
  <si>
    <t>m3/h/d</t>
  </si>
  <si>
    <t>l/h/dia</t>
  </si>
  <si>
    <t>m3/dia</t>
  </si>
  <si>
    <t>m3/dia/h</t>
  </si>
  <si>
    <t>g/d/h</t>
  </si>
  <si>
    <t>g/familia</t>
  </si>
  <si>
    <t>CONTROL Y VIGILANCIA DEL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</si>
  <si>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</si>
  <si>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</si>
  <si>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</si>
  <si>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</si>
  <si>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</si>
  <si>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</si>
  <si>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</si>
  <si>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</si>
  <si>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</si>
  <si>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</si>
  <si>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</si>
  <si>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</si>
  <si>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 NEGATIVIDAD COLI  TOTAL / 100mL</t>
  </si>
  <si>
    <t>Presencia %CR</t>
  </si>
  <si>
    <t>% Envío</t>
  </si>
  <si>
    <t>Gerencia</t>
  </si>
  <si>
    <r>
      <t>1.</t>
    </r>
    <r>
      <rPr>
        <b/>
        <sz val="7"/>
        <rFont val="Times New Roman"/>
        <family val="1"/>
      </rPr>
      <t xml:space="preserve">    </t>
    </r>
    <r>
      <rPr>
        <b/>
        <sz val="12"/>
        <rFont val="Arial"/>
        <family val="2"/>
      </rPr>
      <t>Aguas Residuales Domésticas Recolectadas en Sistemas de Alcantarillado Sanitario</t>
    </r>
  </si>
  <si>
    <t>COBERTURA ALCANTARILLADO SANITARIO</t>
  </si>
  <si>
    <t>CLIENTES CATASTRADOS</t>
  </si>
  <si>
    <t>CLIENTES DE ALCANTARILLADO SANITARIO</t>
  </si>
  <si>
    <t>COBERTURA ALCANTARILLADO SANITARIO (</t>
  </si>
  <si>
    <t>POBLACION POR COBERTURA SANITARIA</t>
  </si>
  <si>
    <t>POBLACION POR COBERTURA SANITARIA X 300 LITROS/HAB/DIA*0.8 (80% estimado de recoleccion)  = CANTIDAD DE AGUA DOMESTICA RECOLECTADA</t>
  </si>
  <si>
    <t>REPRESENTACION PORCENTUAL DEL AGUA PRODUCIDA SOBRE EL AGUA RECOLECTADA</t>
  </si>
  <si>
    <t>PORCIENTO AGUA TRATADA SOBRE LA RECOLECTADA</t>
  </si>
  <si>
    <t>AGUA TRATADA M3/DIA</t>
  </si>
  <si>
    <t>poblacion x cobertura sanitaria</t>
  </si>
  <si>
    <t>El porcentaje cubierto con servicio de agua y saneamiento al 2007 (90.8%)</t>
  </si>
  <si>
    <t>m3</t>
  </si>
  <si>
    <t>galones</t>
  </si>
  <si>
    <t>galon</t>
  </si>
  <si>
    <t>litros</t>
  </si>
  <si>
    <t>DESCRIPCION</t>
  </si>
  <si>
    <t>M3/DIA</t>
  </si>
  <si>
    <t>PRODUCCION AGUA RESIDUALES MUNICIPALES</t>
  </si>
  <si>
    <t>CANTIDAD DE AGUA RESIDUAL MUNICIPAL RECOLECTADA</t>
  </si>
  <si>
    <t>Promedio</t>
  </si>
  <si>
    <t>CANTIDAD DE AGUA RESIDUAL MUNICIPAL TRATADA</t>
  </si>
  <si>
    <t>CAPACIDAD INSTALADA</t>
  </si>
  <si>
    <t>CANTIDAD DE AGUA RESIDUALDOMESTICA</t>
  </si>
  <si>
    <t>CANTIDAD DE AGUA RESIDUALES DOMESTICAS COLECTADA EN EL SISTEMA DE ALCANTARILLADO</t>
  </si>
  <si>
    <t>CANTIDAD DE AGUA RESIDUAL DOMESTICA TRATADA</t>
  </si>
  <si>
    <t>POBLACION ESTIMADA 2023</t>
  </si>
  <si>
    <t>POBLACION</t>
  </si>
  <si>
    <t>VIVIENDA</t>
  </si>
  <si>
    <t>DISTRITO NACIONAL</t>
  </si>
  <si>
    <t>PROV. SANTO DOMINGO</t>
  </si>
  <si>
    <t>total</t>
  </si>
  <si>
    <t>boca chica</t>
  </si>
  <si>
    <t>poblacion abastecida con acceso al servicio del acueducto (95.3%)</t>
  </si>
  <si>
    <t>PRODUCCION DE AGUA DOMESTICA  = ((PROD MGD/264.16)=PROD M3/D) *80% (% GENERADO DEL AGUA PRODUCIDA)</t>
  </si>
  <si>
    <t>PRODUCCION MGD</t>
  </si>
  <si>
    <t>PRODUCCION EN MILLONES DE M3/D</t>
  </si>
  <si>
    <t>PROD DOMESTICA
Q PROM PRODUCIDO  = PROM M3/D*0.8*1MILLON</t>
  </si>
  <si>
    <t>PROD POZOS PRIVADOS 
Q ESTIMADO PARA LOS POZOS PRIVADOS  M3/D</t>
  </si>
  <si>
    <t>AGUA DE POZOS PRIVADOS FACTURADA</t>
  </si>
  <si>
    <t>Calculo de cobertura de alcantarillado sanitario basado en otros criterios</t>
  </si>
  <si>
    <t>metas 2015</t>
  </si>
  <si>
    <t>PARAMETROS</t>
  </si>
  <si>
    <t>UNIDAD MEDIDA</t>
  </si>
  <si>
    <t>PROM</t>
  </si>
  <si>
    <t>a</t>
  </si>
  <si>
    <t>TOTAL DE VIVIENDAS EN ZONA JURISDICCION</t>
  </si>
  <si>
    <t>VIVIENDAS</t>
  </si>
  <si>
    <t>b</t>
  </si>
  <si>
    <t>CLIENTES DE ALCANTARILLADO SANITARIO (CONEXIONES AL SISTEMA COMERCIAL)</t>
  </si>
  <si>
    <t>CONEXIONES</t>
  </si>
  <si>
    <t>c</t>
  </si>
  <si>
    <t>UNIDADES CON SERVICIO DE ALCANTARILLADO (VIVIENDAS)</t>
  </si>
  <si>
    <t>POBLACION CON ACCESO AL SERVICIO DE ALCANTARILLADO SANITARIO(unidades por 3.3 (factor de hab. Por viviendas)</t>
  </si>
  <si>
    <t>HABITANTES</t>
  </si>
  <si>
    <t>e</t>
  </si>
  <si>
    <t>f=d/e</t>
  </si>
  <si>
    <t>COBERTURA DE ACCESO AL SERVICIO DE ALCANTARILLADO SANITARIO (POBLACION CON ACCESO/POBLACION TOTAL)</t>
  </si>
  <si>
    <t>%</t>
  </si>
  <si>
    <t>g=d*300(L/HAB)*80%)</t>
  </si>
  <si>
    <t>VOLUMEN DE AGUA RESIDUAL GENERADOS EN LAS ZONAS CON ACCESO AL SERVICIO DE RECOLECCION DE A. R. A TRAVES DEL ALCANTARILLADO SANITARIO</t>
  </si>
  <si>
    <t>h</t>
  </si>
  <si>
    <t>VOLUMEN DE AGUA RESIDUAL GENERADOS EN LAS ZONAS, CALCULO BASADO EN LA PRODUCCION DISPONIBLE (produccion x 80%)</t>
  </si>
  <si>
    <t>i=g/h</t>
  </si>
  <si>
    <t>COBERTUR DE RECOLECCION DE LAS AGUAS RESIDUALES GENERADAS EN LA ZONA DE INFLUENCIA</t>
  </si>
  <si>
    <t>j</t>
  </si>
  <si>
    <t>VOLUMEN DE AGUA RESIDUAL TRATADA</t>
  </si>
  <si>
    <t>k</t>
  </si>
  <si>
    <t>COBERTURA DE TRATAMIENTO DE AGUA RESIDUAL</t>
  </si>
  <si>
    <t>l=e*300 (l/HAB/D)*80%</t>
  </si>
  <si>
    <t>VOLUMEN DE AGUA RESIDUALES GENERADOS POR LOS HABITANTES DE LA ZONA DE INFLUENCIA</t>
  </si>
  <si>
    <t>m=g/l</t>
  </si>
  <si>
    <t>COBERTURA DE RECOLECCION</t>
  </si>
  <si>
    <t>COBERTURA DE TRATAMIENTO</t>
  </si>
  <si>
    <t>cobertura de saneamiento de agua residual / agua residual recolectada en el zona acceso</t>
  </si>
  <si>
    <t>SITUACION DEL TRATAMIENTO DE LAS AGUAS RESIDUALES
M3/DIA</t>
  </si>
  <si>
    <t>92% de la poblacion</t>
  </si>
  <si>
    <t>Capacidad Anterior</t>
  </si>
  <si>
    <t>viviendas ocupadas según censo 2010</t>
  </si>
  <si>
    <t>l</t>
  </si>
  <si>
    <t>g/d saneado</t>
  </si>
  <si>
    <t>zurza</t>
  </si>
  <si>
    <t>AÑO</t>
  </si>
  <si>
    <t>VOLUMEN DE AGUA RESIDUALES GENERADOS (M3/DIA)</t>
  </si>
  <si>
    <t>años</t>
  </si>
  <si>
    <t>poblacion</t>
  </si>
  <si>
    <t>volumen aguas residuales</t>
  </si>
  <si>
    <t>SISTEMA</t>
  </si>
  <si>
    <t>UBICACIÓN</t>
  </si>
  <si>
    <t>CAPACIDAD DE NOMINAL M3/DIAS</t>
  </si>
  <si>
    <t>Colinas de Arroyo Hondo II</t>
  </si>
  <si>
    <t>Arroyo Hondo</t>
  </si>
  <si>
    <t>Residencial Carmen Renata (Pantoja)</t>
  </si>
  <si>
    <t>Carretera La Isabela, Urb. Carmen Renata Pantoja</t>
  </si>
  <si>
    <t>Residencial Carmen Renata II (Pantoja)</t>
  </si>
  <si>
    <t xml:space="preserve">Planta Ciudad Real II </t>
  </si>
  <si>
    <t>Avenida República de Colombia casi Esq. Av. Monumental</t>
  </si>
  <si>
    <t>El Olimpo, Herrera</t>
  </si>
  <si>
    <t>C/ Zeus, Olimpo de Herrera</t>
  </si>
  <si>
    <t>Urbanización Galaxia, Herrera</t>
  </si>
  <si>
    <t>La Barquita (A1 Sur)</t>
  </si>
  <si>
    <t>La Barquita (A2)</t>
  </si>
  <si>
    <t>La Barquita (A1 Norte)</t>
  </si>
  <si>
    <t>Planta Depuradora Mirador Norte-La Zurza</t>
  </si>
  <si>
    <t>Mirador Norte</t>
  </si>
  <si>
    <t>Planta lotes y servicios</t>
  </si>
  <si>
    <t>Planta Salomé Ureña</t>
  </si>
  <si>
    <t>Vista Bella</t>
  </si>
  <si>
    <t>Planta Los Ríos</t>
  </si>
  <si>
    <t>Av. Paseo del Arroyo, Altos de Arroyo Hondo III</t>
  </si>
  <si>
    <t>Planta La Ciénaga</t>
  </si>
  <si>
    <t>C/ Francisco del Rosario Sánchez, Guachapita</t>
  </si>
  <si>
    <t>Planta Los Jardines</t>
  </si>
  <si>
    <t>C/ Jardines Encantados Jardines del Norte</t>
  </si>
  <si>
    <t>Planta Ciudad Satélite</t>
  </si>
  <si>
    <t>C/ Principal al final, Km. 23 Autopista Duarte</t>
  </si>
  <si>
    <t>Planta Los Alcarrizos</t>
  </si>
  <si>
    <t xml:space="preserve">C/ Gaviota al final, Los Alcarrizos Americanos </t>
  </si>
  <si>
    <t>(Los Americanos)</t>
  </si>
  <si>
    <t>Planta puerta de Hierro</t>
  </si>
  <si>
    <t>Planta Bo. INVI</t>
  </si>
  <si>
    <t>(Los Alcarrizos)</t>
  </si>
  <si>
    <t>Planta Los Tres Brazos</t>
  </si>
  <si>
    <t>Av. Prolongación Venezuela, Los Tres Brazos</t>
  </si>
  <si>
    <t>Planta Hainamosa</t>
  </si>
  <si>
    <t>Planta Villa Liberación-El INVI</t>
  </si>
  <si>
    <t>INVI la Virgen</t>
  </si>
  <si>
    <t>Planta Caballona</t>
  </si>
  <si>
    <t>Carretera Palavé, Ciudad del Niño, Cabayona</t>
  </si>
  <si>
    <t>Planta Prado de la Caña</t>
  </si>
  <si>
    <t>Carretera Mella, Guerra</t>
  </si>
  <si>
    <t>Planta Prado de San Luis</t>
  </si>
  <si>
    <t>Planta Villas de Pantoja</t>
  </si>
  <si>
    <t>Carretera De Pantoja Km. 14 1/2 Autopista Duarte</t>
  </si>
  <si>
    <t>No. De Muestras</t>
  </si>
  <si>
    <t>Área Bacteriológica</t>
  </si>
  <si>
    <t>Número de muestras tomadas (sembradas)</t>
  </si>
  <si>
    <t>Número de muestras contaminadas (Coliformes fecales)</t>
  </si>
  <si>
    <t>Población beneficiada con el agua suministrada</t>
  </si>
  <si>
    <t>EMPLEADOS FIJOS</t>
  </si>
  <si>
    <t>SOLO AGUA POTABLE Y AGUA POZO</t>
  </si>
  <si>
    <t xml:space="preserve">el valor que </t>
  </si>
  <si>
    <t>PERIODO</t>
  </si>
  <si>
    <t>CLIENTES MIXTOS NORTE-ESTE</t>
  </si>
  <si>
    <t>CRECIMIENTO</t>
  </si>
  <si>
    <t>sub total</t>
  </si>
  <si>
    <t>Poblacion 2024</t>
  </si>
  <si>
    <t>NOTA: Proyeccion de poblacion utilizada a partir de marzo 2024</t>
  </si>
  <si>
    <t>POBLACION ESTIMADA 2024</t>
  </si>
  <si>
    <t>poblacion abastecida con acceso al servicio del acueducto (96%)</t>
  </si>
  <si>
    <t>d = c * 3</t>
  </si>
  <si>
    <t>POBLACION TOTAL DE LA ZONA DE INFLUENCIA según datos censo 2022</t>
  </si>
  <si>
    <t>UNIDADES EN BASE A LOS CLIENTES ALCANTARILLADO</t>
  </si>
  <si>
    <t xml:space="preserve">PORCENTAJE DE VIVIENDAS CONECTADAS A LA RED PUBLICA </t>
  </si>
  <si>
    <t>PORCENTAJE DE VIVIENDAS CONECTADAS A LA RED DE ALCANTARILLA SANITARIO</t>
  </si>
  <si>
    <t xml:space="preserve">PORCENTAJE DE AGUA PRODUCIDA VERSUS CAPACIDAD INSTALADA </t>
  </si>
  <si>
    <t xml:space="preserve">PORCENTAJE DE AGUA RESIDUAL TRATADA VS RECOLECTADA </t>
  </si>
  <si>
    <t xml:space="preserve">PROMEDIO DE HORAS DE REACTIVACION DE SERVICIOS TRAS EL PASO DE EVENTOS ATMOSFERICOS </t>
  </si>
  <si>
    <t xml:space="preserve">INDICADOR </t>
  </si>
  <si>
    <t xml:space="preserve">Enero </t>
  </si>
  <si>
    <t xml:space="preserve">Febrero </t>
  </si>
  <si>
    <t xml:space="preserve">Marzo </t>
  </si>
  <si>
    <t>Diseño en MGD</t>
  </si>
  <si>
    <t>Columna1</t>
  </si>
  <si>
    <t>Columna2</t>
  </si>
  <si>
    <t>Columna3</t>
  </si>
  <si>
    <t>CAMPO DE POZOS</t>
  </si>
  <si>
    <t xml:space="preserve">SISTEMAS </t>
  </si>
  <si>
    <t>Cpacidad de Diseño</t>
  </si>
  <si>
    <t>CAASD2</t>
  </si>
  <si>
    <t>CAASD3</t>
  </si>
  <si>
    <t>CAASD4</t>
  </si>
  <si>
    <t>CAASD5</t>
  </si>
  <si>
    <t>CAASD6</t>
  </si>
  <si>
    <t xml:space="preserve">ID </t>
  </si>
  <si>
    <t>Total unidades Residenciales</t>
  </si>
  <si>
    <t>SIN_MORANORTE-ESTE2</t>
  </si>
  <si>
    <t>SIN_MORA SUR-NOROESTE</t>
  </si>
  <si>
    <t>%MORA NORTE-ESTE</t>
  </si>
  <si>
    <t>%MORA SUROESTE-NOROESTE</t>
  </si>
  <si>
    <t>MORA</t>
  </si>
  <si>
    <t>FACTURADO _SIN MORA</t>
  </si>
  <si>
    <t>FACTURA _NETO</t>
  </si>
  <si>
    <t xml:space="preserve">RECAUDO TOTAL </t>
  </si>
  <si>
    <t xml:space="preserve">Clientes Residencial </t>
  </si>
  <si>
    <t xml:space="preserve">Industrial </t>
  </si>
  <si>
    <t xml:space="preserve">comercial </t>
  </si>
  <si>
    <t xml:space="preserve">mixto </t>
  </si>
  <si>
    <t xml:space="preserve">oficial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</si>
  <si>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</si>
  <si>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</si>
  <si>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</si>
  <si>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</si>
  <si>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</si>
  <si>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</si>
  <si>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</si>
  <si>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</si>
  <si>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</si>
  <si>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</si>
  <si>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</si>
  <si>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</si>
  <si>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FORMATO INFORME BANCO CENTRAL (no incluye otros clientes)</t>
  </si>
  <si>
    <t xml:space="preserve">Facturacion por periodo </t>
  </si>
  <si>
    <t>Residencial</t>
  </si>
  <si>
    <t xml:space="preserve">industrial </t>
  </si>
  <si>
    <t xml:space="preserve">Comercial </t>
  </si>
  <si>
    <t xml:space="preserve">Total Mensual facturado </t>
  </si>
  <si>
    <t xml:space="preserve">Total Anual facturado por cliente </t>
  </si>
  <si>
    <t xml:space="preserve">total facturacion Mensual </t>
  </si>
  <si>
    <t xml:space="preserve">Total  Anual recaudado  * tipo de cliente </t>
  </si>
  <si>
    <t xml:space="preserve">total mensual de clientes </t>
  </si>
  <si>
    <t xml:space="preserve">mes </t>
  </si>
  <si>
    <t>gerenci Suroeste-noroeste</t>
  </si>
  <si>
    <t xml:space="preserve">gerencia Norte-Este </t>
  </si>
  <si>
    <t>enero</t>
  </si>
  <si>
    <t xml:space="preserve">Total Unidades  Inactivos </t>
  </si>
  <si>
    <t>Total Promedio/ Sistemas 2024</t>
  </si>
  <si>
    <t>Periodo</t>
  </si>
  <si>
    <t>Recaudo</t>
  </si>
  <si>
    <t xml:space="preserve">Facturacion </t>
  </si>
  <si>
    <t>Distrito Nacional</t>
  </si>
  <si>
    <t>1,029,110</t>
  </si>
  <si>
    <t>Santo domingo este</t>
  </si>
  <si>
    <t>1,029,117</t>
  </si>
  <si>
    <t>Santo Domingo Norte</t>
  </si>
  <si>
    <t>Santo Domingo Oeste</t>
  </si>
  <si>
    <t>Los Alcarrizos</t>
  </si>
  <si>
    <t>San Antonio de Guerra</t>
  </si>
  <si>
    <t>Pedro Brand</t>
  </si>
  <si>
    <t>Total</t>
  </si>
  <si>
    <t>3,631,658</t>
  </si>
  <si>
    <t xml:space="preserve">   1,241,463 </t>
  </si>
  <si>
    <t xml:space="preserve">viviendas </t>
  </si>
  <si>
    <t>Muncipip</t>
  </si>
  <si>
    <t xml:space="preserve">habirantes </t>
  </si>
  <si>
    <t>FACT TOTAL SUR-NOROESTE</t>
  </si>
  <si>
    <t>FACT TOTAL NORTE-ESTE</t>
  </si>
  <si>
    <t>CANTIDAD DE MUESTRAS RECIBIDAS</t>
  </si>
  <si>
    <t xml:space="preserve">% IP COLIFORMES TOTALES </t>
  </si>
  <si>
    <t>% IP COLIFORMES FECALES</t>
  </si>
  <si>
    <t>% CLORO RESIDUAL</t>
  </si>
  <si>
    <t>INDICADORES DE CALIDAD DE AGUA DISTRIBUIDA POR MUNICIPIO 2024</t>
  </si>
  <si>
    <t xml:space="preserve">MUNICIPIO </t>
  </si>
  <si>
    <t>SANTO DOMINGO OESTE</t>
  </si>
  <si>
    <t>SANTO DOMINGO ESTE</t>
  </si>
  <si>
    <t>SANTO DOMINGO NORTE</t>
  </si>
  <si>
    <t>GENERAL</t>
  </si>
  <si>
    <t>Facturación</t>
  </si>
  <si>
    <t>Categoria de usuario</t>
  </si>
  <si>
    <t>VOLUMEN AGUA DE RED FACTURADA EN M3 - TOTAL  SD PERIODO 202307</t>
  </si>
  <si>
    <t>Zona Este</t>
  </si>
  <si>
    <t>Variac.</t>
  </si>
  <si>
    <t>Zona Norte</t>
  </si>
  <si>
    <t>Norte + Este</t>
  </si>
  <si>
    <t>VOLUMEN AGUA DE POZO FACTURADA EN M3 - TOTAL  SD PERIODO 202307</t>
  </si>
  <si>
    <t xml:space="preserve">Valores de Referencia Para gerencia Norte-Este </t>
  </si>
  <si>
    <t>VARIACION INTERMENSUAL %</t>
  </si>
  <si>
    <t xml:space="preserve">Recaudo </t>
  </si>
  <si>
    <t>RECAUDACION OFICIAL NORTE-ESTE</t>
  </si>
  <si>
    <t xml:space="preserve">AGOSTO </t>
  </si>
  <si>
    <t xml:space="preserve">SEPTIEMBRE </t>
  </si>
  <si>
    <t xml:space="preserve">FACTURACION </t>
  </si>
  <si>
    <t xml:space="preserve">RECAUDO </t>
  </si>
  <si>
    <t>CAPACIDAD NOMINAL</t>
  </si>
  <si>
    <t>LTS/S</t>
  </si>
  <si>
    <t>M3/D</t>
  </si>
  <si>
    <t>La Zurza</t>
  </si>
  <si>
    <t>Av. Jacobo Majluta, Mirador Norte</t>
  </si>
  <si>
    <t>Los Rios</t>
  </si>
  <si>
    <t>Residencial Carmen Renata II</t>
  </si>
  <si>
    <t>Carrt. La Isabela, Urb. Carmen Renata Pantoja</t>
  </si>
  <si>
    <t>Ciudad Real II</t>
  </si>
  <si>
    <t>Av República de Colombia casi Esq. Av. Monumental</t>
  </si>
  <si>
    <t>La Cienaga</t>
  </si>
  <si>
    <t>Los Jardines</t>
  </si>
  <si>
    <t>Ciudad Satelite</t>
  </si>
  <si>
    <t>C/ Principal al final, Km. 23 Aut. Duarte</t>
  </si>
  <si>
    <t>Total Distrito Nacional</t>
  </si>
  <si>
    <t>MUNICIPIO LOS ALCARRIZOS</t>
  </si>
  <si>
    <t>Los Alcarrizos (Los Americanos)</t>
  </si>
  <si>
    <t>C/ Gaviota al final, Los Alcarrizos Americanos</t>
  </si>
  <si>
    <t>Residencial Villas de Pantoja</t>
  </si>
  <si>
    <t>Carrt. De Pantoja Km. 14 1/2 Aut. Duarte</t>
  </si>
  <si>
    <t>Total Mun. Los Alcarrizos</t>
  </si>
  <si>
    <t>Caballona</t>
  </si>
  <si>
    <t>Carrt. Palavé, Ciudad del Niño, Cabayona</t>
  </si>
  <si>
    <t>Total Mun. Sto. Dgo Oeste</t>
  </si>
  <si>
    <t>La Barquita (Al Sur)</t>
  </si>
  <si>
    <t>Proyecto la Nueva Barquita, Sabana Perdida</t>
  </si>
  <si>
    <t>LA Barquita (Al norte)</t>
  </si>
  <si>
    <t>Invi La Virgen</t>
  </si>
  <si>
    <t>La Victoria</t>
  </si>
  <si>
    <t>Total Mun. Sto. Dgo. Norte</t>
  </si>
  <si>
    <t>Los Tres Brazos</t>
  </si>
  <si>
    <t>Prado de la Caña</t>
  </si>
  <si>
    <t>Carret. Mella, Guerra</t>
  </si>
  <si>
    <t>Prado de San Luis</t>
  </si>
  <si>
    <t>Carret. Mella, San Luis</t>
  </si>
  <si>
    <t>Total Mun. Sto. Dgo Este</t>
  </si>
  <si>
    <t>TOTAL GENERAL</t>
  </si>
  <si>
    <t>ESTOS SON CON MORA</t>
  </si>
  <si>
    <t>PRODUCCION DE AGUA, AÑO 2025</t>
  </si>
  <si>
    <t>Mata-Mamon I</t>
  </si>
  <si>
    <t>Mata-Mamon II</t>
  </si>
  <si>
    <t>AÑ0 2025</t>
  </si>
  <si>
    <t>% Negatividad Fecales /100 mL</t>
  </si>
  <si>
    <t>AÑO 202025</t>
  </si>
  <si>
    <t>Pob.2025</t>
  </si>
  <si>
    <t>viviendas 2025</t>
  </si>
  <si>
    <t>NOTAS:</t>
  </si>
  <si>
    <t>10/04 NO TENEMOS LAS UNIDADES AGUA</t>
  </si>
  <si>
    <t xml:space="preserve">LAS UNIDADES ALCANTARILLADO DAN UN VALOR ELEVADO DEBIDO A LA CANTIDAD DE CLIENTES </t>
  </si>
  <si>
    <t>SE VE ALTERADO DEBIDO A QUE LAS UNIDADES ALCANTARILLADO ESTAN ELEVADAS</t>
  </si>
  <si>
    <t xml:space="preserve">Universo de unidades conectados a la red </t>
  </si>
  <si>
    <t>FACTURACION POR TIPO DE CLIENTES (USO) SIN MORA</t>
  </si>
  <si>
    <t>FACTURACION POR TIPO DE CLIENTES (USO) CON MORA</t>
  </si>
  <si>
    <t>CUADRO RESUMEN FACTURACION MORA POR USO PARA ESTADISTICA AÑO 2025</t>
  </si>
  <si>
    <t>POBLACION CON ACCESO AL SERVICIO DE ALCANTARILLADO SANITARIO(unidades por 2.90(factor de hab. Por viviendas)</t>
  </si>
  <si>
    <t>MUNICIPIO</t>
  </si>
  <si>
    <t>MES/AÑO</t>
  </si>
  <si>
    <t>INDICADORES</t>
  </si>
  <si>
    <t>INCIDENCIA DE INDICADORES POR</t>
  </si>
  <si>
    <t>HOMBRES</t>
  </si>
  <si>
    <t>MUJERES</t>
  </si>
  <si>
    <t>INDICE DE POTABILIDAD</t>
  </si>
  <si>
    <t xml:space="preserve"> SUROESTE </t>
  </si>
  <si>
    <t xml:space="preserve"> -   </t>
  </si>
  <si>
    <t xml:space="preserve">Total unidades Residenciales </t>
  </si>
  <si>
    <t>unidades res y mixtas dic 2024</t>
  </si>
  <si>
    <t>CONSUMO DE M3 FACTURADOS POR TIPO DE CLIENTES, AÑO 2025</t>
  </si>
  <si>
    <t>CONSUMO DE M3 FACTURADOS POR TIPO DE CLIENTES
AÑO 2025</t>
  </si>
  <si>
    <t>CONSUMO DE M3 FACTURADOS POR TIPO DE CLIENTES (NO INCLUYE POZOS PRIVADOS)
AÑO 2025</t>
  </si>
  <si>
    <t xml:space="preserve"> Lecheria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</si>
</sst>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(* #,##0.00_);_(* \(#,##0.00\);_(* &quot;-&quot;??_);_(@_)"/>
    <numFmt numFmtId="166" formatCode="_(* #,##0.00_);_(* \(#,##0.00\);_(* \-??_);_(@_)"/>
    <numFmt numFmtId="167" formatCode="_(* #,##0_);_(* \(#,##0\);_(* \-??_);_(@_)"/>
    <numFmt numFmtId="168" formatCode="0.0%"/>
    <numFmt numFmtId="169" formatCode="_-* #,##0.00_-;\-* #,##0.00_-;_-* \-??_-;_-@_-"/>
    <numFmt numFmtId="170" formatCode="_(* #,##0.000_);_(* \(#,##0.000\);_(* \-??_);_(@_)"/>
    <numFmt numFmtId="171" formatCode="_(* #,##0.0_);_(* \(#,##0.0\);_(* \-??_);_(@_)"/>
    <numFmt numFmtId="172" formatCode="_(* #,##0.00000_);_(* \(#,##0.00000\);_(* \-??_);_(@_)"/>
    <numFmt numFmtId="173" formatCode="_(* #,##0.0000_);_(* \(#,##0.0000\);_(* \-??_);_(@_)"/>
    <numFmt numFmtId="174" formatCode="_-* #,##0.000_-;\-* #,##0.000_-;_-* \-??_-;_-@_-"/>
    <numFmt numFmtId="175" formatCode="0.000"/>
    <numFmt numFmtId="176" formatCode="0.0"/>
    <numFmt numFmtId="177" formatCode="0.0000"/>
    <numFmt numFmtId="178" formatCode="0.000%"/>
    <numFmt numFmtId="179" formatCode="_(* #,##0.00000_);_(* \(#,##0.00000\);_(* &quot;-&quot;??_);_(@_)"/>
    <numFmt numFmtId="180" formatCode="0.0000%"/>
    <numFmt numFmtId="181" formatCode="0.00000000000000000%"/>
    <numFmt numFmtId="182" formatCode="#,##0.000"/>
    <numFmt numFmtId="183" formatCode="#,##0.0000"/>
    <numFmt numFmtId="184" formatCode="#,##0.0"/>
    <numFmt numFmtId="185" formatCode="_-* #,##0_-;\-* #,##0_-;_-* &quot;-&quot;??_-;_-@_-"/>
    <numFmt numFmtId="186" formatCode="_-* #,##0.00\ _€_-;\-* #,##0.00\ _€_-;_-* &quot;-&quot;??\ _€_-;_-@_-"/>
    <numFmt numFmtId="187" formatCode="_-[$$-1C0A]* #,##0.00_ ;_-[$$-1C0A]* \-#,##0.00\ ;_-[$$-1C0A]* &quot;-&quot;??_ ;_-@_ "/>
    <numFmt numFmtId="188" formatCode="_-* #,##0.0000000\ _€_-;\-* #,##0.0000000\ _€_-;_-* &quot;-&quot;??\ _€_-;_-@_-"/>
    <numFmt numFmtId="189" formatCode="_-* #,##0\ _€_-;\-* #,##0\ _€_-;_-* &quot;-&quot;??\ _€_-;_-@_-"/>
    <numFmt numFmtId="190" formatCode="_(* #,##0_);_(* \(#,##0\);_(* &quot;-&quot;??_);_(@_)"/>
  </numFmts>
  <fonts count="13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12"/>
      <name val="Calibri"/>
      <family val="2"/>
      <scheme val="minor"/>
    </font>
    <font>
      <b/>
      <sz val="10"/>
      <name val="Arial Rounded MT Bold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11"/>
      <name val="Calibri"/>
      <family val="2"/>
    </font>
    <font>
      <sz val="11"/>
      <name val="Times New Roman"/>
      <family val="1"/>
    </font>
    <font>
      <sz val="10"/>
      <name val="Arial Rounded MT Bold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sz val="11"/>
      <name val="Calibri"/>
      <family val="2"/>
    </font>
    <font>
      <sz val="10"/>
      <color indexed="30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7"/>
      <color indexed="1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i/>
      <sz val="10"/>
      <name val="Times New Roman"/>
      <family val="1"/>
    </font>
    <font>
      <sz val="11"/>
      <color indexed="62"/>
      <name val="Calibri"/>
      <family val="2"/>
    </font>
    <font>
      <sz val="11"/>
      <color indexed="49"/>
      <name val="Calibri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8.5"/>
      <name val="Times New Roman"/>
      <family val="1"/>
    </font>
    <font>
      <sz val="10"/>
      <color indexed="56"/>
      <name val="Arial"/>
      <family val="2"/>
    </font>
    <font>
      <sz val="10"/>
      <color indexed="62"/>
      <name val="Arial"/>
      <family val="2"/>
    </font>
    <font>
      <b/>
      <sz val="10"/>
      <color indexed="56"/>
      <name val="Arial"/>
      <family val="2"/>
    </font>
    <font>
      <sz val="12"/>
      <name val="Calibri"/>
      <family val="2"/>
    </font>
    <font>
      <sz val="14"/>
      <name val="BankGothic Md BT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2"/>
      <name val="BankGothic Md BT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7"/>
      <name val="Times New Roman"/>
      <family val="1"/>
    </font>
    <font>
      <sz val="8"/>
      <color indexed="10"/>
      <name val="Arial"/>
      <family val="2"/>
    </font>
    <font>
      <sz val="10"/>
      <color indexed="8"/>
      <name val="Lucida Sans Unicode"/>
      <family val="2"/>
    </font>
    <font>
      <sz val="11"/>
      <color rgb="FF000000"/>
      <name val="Arial"/>
      <family val="2"/>
    </font>
    <font>
      <sz val="6"/>
      <name val="Arial"/>
      <family val="2"/>
    </font>
    <font>
      <sz val="5"/>
      <name val="Arial"/>
      <family val="2"/>
    </font>
    <font>
      <sz val="9"/>
      <color indexed="81"/>
      <name val="Tahoma"/>
      <family val="2"/>
    </font>
    <font>
      <b/>
      <sz val="9"/>
      <color indexed="8"/>
      <name val="Times New Roman"/>
      <family val="1"/>
    </font>
    <font>
      <sz val="8"/>
      <color indexed="60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b/>
      <sz val="13"/>
      <name val="Arial"/>
      <family val="2"/>
    </font>
    <font>
      <sz val="12"/>
      <color indexed="49"/>
      <name val="Arial"/>
      <family val="2"/>
    </font>
    <font>
      <sz val="9"/>
      <name val="Calibri"/>
      <family val="2"/>
    </font>
    <font>
      <sz val="8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name val="BankGothic Md BT"/>
    </font>
    <font>
      <sz val="8"/>
      <name val="Calibri"/>
      <family val="2"/>
      <scheme val="minor"/>
    </font>
    <font>
      <b/>
      <sz val="14"/>
      <name val="BankGothic Md BT"/>
    </font>
    <font>
      <b/>
      <sz val="12"/>
      <name val="BankGothic Md BT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rgb="FFFFFFFF"/>
      <name val="Arial"/>
      <family val="2"/>
    </font>
    <font>
      <sz val="11"/>
      <color rgb="FF000000"/>
      <name val="Calibri"/>
      <family val="2"/>
    </font>
    <font>
      <b/>
      <sz val="12"/>
      <color rgb="FFFF0000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51"/>
      </patternFill>
    </fill>
    <fill>
      <patternFill patternType="solid">
        <fgColor theme="0"/>
        <bgColor indexed="5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59"/>
      </patternFill>
    </fill>
    <fill>
      <patternFill patternType="solid">
        <fgColor theme="0"/>
        <bgColor indexed="59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13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35"/>
      </patternFill>
    </fill>
    <fill>
      <patternFill patternType="solid">
        <fgColor indexed="31"/>
        <bgColor indexed="22"/>
      </patternFill>
    </fill>
    <fill>
      <patternFill patternType="solid">
        <fgColor rgb="FF0070C0"/>
        <bgColor indexed="27"/>
      </patternFill>
    </fill>
    <fill>
      <patternFill patternType="solid">
        <fgColor theme="0"/>
        <bgColor indexed="31"/>
      </patternFill>
    </fill>
    <fill>
      <patternFill patternType="solid">
        <fgColor indexed="40"/>
        <bgColor indexed="49"/>
      </patternFill>
    </fill>
    <fill>
      <patternFill patternType="solid">
        <fgColor rgb="FFFF0000"/>
        <bgColor indexed="64"/>
      </patternFill>
    </fill>
    <fill>
      <patternFill patternType="solid">
        <fgColor rgb="FFD0DBF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51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92D050"/>
        <bgColor indexed="5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31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4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0"/>
        <bgColor indexed="26"/>
      </patternFill>
    </fill>
  </fills>
  <borders count="15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double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49"/>
      </left>
      <right style="medium">
        <color indexed="49"/>
      </right>
      <top style="medium">
        <color indexed="49"/>
      </top>
      <bottom/>
      <diagonal/>
    </border>
    <border>
      <left/>
      <right style="medium">
        <color indexed="49"/>
      </right>
      <top style="medium">
        <color indexed="49"/>
      </top>
      <bottom/>
      <diagonal/>
    </border>
    <border>
      <left style="medium">
        <color indexed="49"/>
      </left>
      <right style="medium">
        <color indexed="49"/>
      </right>
      <top style="medium">
        <color indexed="49"/>
      </top>
      <bottom style="medium">
        <color indexed="49"/>
      </bottom>
      <diagonal/>
    </border>
    <border>
      <left/>
      <right style="medium">
        <color indexed="49"/>
      </right>
      <top style="medium">
        <color indexed="49"/>
      </top>
      <bottom style="medium">
        <color indexed="49"/>
      </bottom>
      <diagonal/>
    </border>
    <border>
      <left style="medium">
        <color indexed="49"/>
      </left>
      <right style="medium">
        <color indexed="49"/>
      </right>
      <top/>
      <bottom/>
      <diagonal/>
    </border>
    <border>
      <left/>
      <right style="medium">
        <color indexed="49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49"/>
      </left>
      <right style="medium">
        <color indexed="49"/>
      </right>
      <top style="double">
        <color indexed="49"/>
      </top>
      <bottom style="medium">
        <color indexed="49"/>
      </bottom>
      <diagonal/>
    </border>
    <border>
      <left/>
      <right style="medium">
        <color indexed="49"/>
      </right>
      <top style="double">
        <color indexed="49"/>
      </top>
      <bottom style="medium">
        <color indexed="4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49"/>
      </left>
      <right style="medium">
        <color indexed="49"/>
      </right>
      <top/>
      <bottom style="medium">
        <color indexed="49"/>
      </bottom>
      <diagonal/>
    </border>
    <border>
      <left/>
      <right style="medium">
        <color indexed="49"/>
      </right>
      <top/>
      <bottom style="medium">
        <color indexed="49"/>
      </bottom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 style="thick">
        <color rgb="FF4472C4"/>
      </bottom>
      <diagonal/>
    </border>
    <border>
      <left/>
      <right style="medium">
        <color rgb="FF4472C4"/>
      </right>
      <top style="medium">
        <color rgb="FF4472C4"/>
      </top>
      <bottom style="thick">
        <color rgb="FF4472C4"/>
      </bottom>
      <diagonal/>
    </border>
    <border>
      <left style="medium">
        <color rgb="FF4472C4"/>
      </left>
      <right style="medium">
        <color rgb="FF4472C4"/>
      </right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/>
      <bottom/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medium">
        <color indexed="64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double">
        <color indexed="8"/>
      </right>
      <top style="double">
        <color indexed="8"/>
      </top>
      <bottom/>
      <diagonal/>
    </border>
    <border>
      <left style="medium">
        <color indexed="64"/>
      </left>
      <right style="double">
        <color indexed="8"/>
      </right>
      <top style="double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650">
    <xf numFmtId="0" fontId="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2" borderId="0" applyNumberFormat="0" applyBorder="0" applyAlignment="0" applyProtection="0"/>
    <xf numFmtId="0" fontId="33" fillId="0" borderId="0"/>
    <xf numFmtId="166" fontId="33" fillId="0" borderId="0" applyFill="0" applyBorder="0" applyAlignment="0" applyProtection="0"/>
    <xf numFmtId="0" fontId="33" fillId="0" borderId="0"/>
    <xf numFmtId="0" fontId="75" fillId="0" borderId="0" applyNumberFormat="0" applyFill="0" applyBorder="0" applyAlignment="0" applyProtection="0"/>
    <xf numFmtId="186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186" fontId="28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86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86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86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0" fillId="0" borderId="0"/>
    <xf numFmtId="0" fontId="112" fillId="0" borderId="0" applyNumberFormat="0" applyFill="0" applyBorder="0" applyAlignment="0" applyProtection="0"/>
    <xf numFmtId="0" fontId="113" fillId="0" borderId="123" applyNumberFormat="0" applyFill="0" applyAlignment="0" applyProtection="0"/>
    <xf numFmtId="0" fontId="114" fillId="0" borderId="124" applyNumberFormat="0" applyFill="0" applyAlignment="0" applyProtection="0"/>
    <xf numFmtId="0" fontId="115" fillId="0" borderId="125" applyNumberFormat="0" applyFill="0" applyAlignment="0" applyProtection="0"/>
    <xf numFmtId="0" fontId="115" fillId="0" borderId="0" applyNumberFormat="0" applyFill="0" applyBorder="0" applyAlignment="0" applyProtection="0"/>
    <xf numFmtId="0" fontId="116" fillId="34" borderId="0" applyNumberFormat="0" applyBorder="0" applyAlignment="0" applyProtection="0"/>
    <xf numFmtId="0" fontId="117" fillId="35" borderId="0" applyNumberFormat="0" applyBorder="0" applyAlignment="0" applyProtection="0"/>
    <xf numFmtId="0" fontId="118" fillId="36" borderId="0" applyNumberFormat="0" applyBorder="0" applyAlignment="0" applyProtection="0"/>
    <xf numFmtId="0" fontId="119" fillId="37" borderId="126" applyNumberFormat="0" applyAlignment="0" applyProtection="0"/>
    <xf numFmtId="0" fontId="120" fillId="38" borderId="127" applyNumberFormat="0" applyAlignment="0" applyProtection="0"/>
    <xf numFmtId="0" fontId="121" fillId="38" borderId="126" applyNumberFormat="0" applyAlignment="0" applyProtection="0"/>
    <xf numFmtId="0" fontId="122" fillId="0" borderId="128" applyNumberFormat="0" applyFill="0" applyAlignment="0" applyProtection="0"/>
    <xf numFmtId="0" fontId="123" fillId="39" borderId="129" applyNumberFormat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10" fillId="0" borderId="131" applyNumberFormat="0" applyFill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126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126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126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126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126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0" borderId="0"/>
    <xf numFmtId="0" fontId="22" fillId="40" borderId="130" applyNumberFormat="0" applyFont="0" applyAlignment="0" applyProtection="0"/>
    <xf numFmtId="0" fontId="126" fillId="2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30" fillId="0" borderId="0"/>
    <xf numFmtId="0" fontId="31" fillId="2" borderId="0" applyNumberFormat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40" borderId="130" applyNumberFormat="0" applyFon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7" borderId="0" applyNumberFormat="0" applyBorder="0" applyAlignment="0" applyProtection="0"/>
    <xf numFmtId="0" fontId="20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1" borderId="0" applyNumberFormat="0" applyBorder="0" applyAlignment="0" applyProtection="0"/>
    <xf numFmtId="0" fontId="20" fillId="62" borderId="0" applyNumberFormat="0" applyBorder="0" applyAlignment="0" applyProtection="0"/>
    <xf numFmtId="0" fontId="20" fillId="63" borderId="0" applyNumberFormat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40" borderId="130" applyNumberFormat="0" applyFont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8" fillId="40" borderId="130" applyNumberFormat="0" applyFont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7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18" fillId="51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5" borderId="0" applyNumberFormat="0" applyBorder="0" applyAlignment="0" applyProtection="0"/>
    <xf numFmtId="0" fontId="18" fillId="57" borderId="0" applyNumberFormat="0" applyBorder="0" applyAlignment="0" applyProtection="0"/>
    <xf numFmtId="0" fontId="18" fillId="58" borderId="0" applyNumberFormat="0" applyBorder="0" applyAlignment="0" applyProtection="0"/>
    <xf numFmtId="0" fontId="18" fillId="59" borderId="0" applyNumberFormat="0" applyBorder="0" applyAlignment="0" applyProtection="0"/>
    <xf numFmtId="0" fontId="18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63" borderId="0" applyNumberFormat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40" borderId="130" applyNumberFormat="0" applyFont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7" borderId="0" applyNumberFormat="0" applyBorder="0" applyAlignment="0" applyProtection="0"/>
    <xf numFmtId="0" fontId="17" fillId="58" borderId="0" applyNumberFormat="0" applyBorder="0" applyAlignment="0" applyProtection="0"/>
    <xf numFmtId="0" fontId="17" fillId="59" borderId="0" applyNumberFormat="0" applyBorder="0" applyAlignment="0" applyProtection="0"/>
    <xf numFmtId="0" fontId="17" fillId="61" borderId="0" applyNumberFormat="0" applyBorder="0" applyAlignment="0" applyProtection="0"/>
    <xf numFmtId="0" fontId="17" fillId="62" borderId="0" applyNumberFormat="0" applyBorder="0" applyAlignment="0" applyProtection="0"/>
    <xf numFmtId="0" fontId="17" fillId="63" borderId="0" applyNumberFormat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0" fontId="16" fillId="40" borderId="130" applyNumberFormat="0" applyFont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7" borderId="0" applyNumberFormat="0" applyBorder="0" applyAlignment="0" applyProtection="0"/>
    <xf numFmtId="0" fontId="16" fillId="58" borderId="0" applyNumberFormat="0" applyBorder="0" applyAlignment="0" applyProtection="0"/>
    <xf numFmtId="0" fontId="16" fillId="59" borderId="0" applyNumberFormat="0" applyBorder="0" applyAlignment="0" applyProtection="0"/>
    <xf numFmtId="0" fontId="16" fillId="61" borderId="0" applyNumberFormat="0" applyBorder="0" applyAlignment="0" applyProtection="0"/>
    <xf numFmtId="0" fontId="16" fillId="62" borderId="0" applyNumberFormat="0" applyBorder="0" applyAlignment="0" applyProtection="0"/>
    <xf numFmtId="0" fontId="16" fillId="63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40" borderId="130" applyNumberFormat="0" applyFont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59" borderId="0" applyNumberFormat="0" applyBorder="0" applyAlignment="0" applyProtection="0"/>
    <xf numFmtId="0" fontId="15" fillId="61" borderId="0" applyNumberFormat="0" applyBorder="0" applyAlignment="0" applyProtection="0"/>
    <xf numFmtId="0" fontId="15" fillId="62" borderId="0" applyNumberFormat="0" applyBorder="0" applyAlignment="0" applyProtection="0"/>
    <xf numFmtId="0" fontId="15" fillId="63" borderId="0" applyNumberFormat="0" applyBorder="0" applyAlignment="0" applyProtection="0"/>
    <xf numFmtId="0" fontId="12" fillId="0" borderId="0"/>
    <xf numFmtId="0" fontId="12" fillId="40" borderId="130" applyNumberFormat="0" applyFont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55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61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40" borderId="130" applyNumberFormat="0" applyFont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5" borderId="0" applyNumberFormat="0" applyBorder="0" applyAlignment="0" applyProtection="0"/>
    <xf numFmtId="0" fontId="11" fillId="57" borderId="0" applyNumberFormat="0" applyBorder="0" applyAlignment="0" applyProtection="0"/>
    <xf numFmtId="0" fontId="11" fillId="58" borderId="0" applyNumberFormat="0" applyBorder="0" applyAlignment="0" applyProtection="0"/>
    <xf numFmtId="0" fontId="11" fillId="59" borderId="0" applyNumberFormat="0" applyBorder="0" applyAlignment="0" applyProtection="0"/>
    <xf numFmtId="0" fontId="11" fillId="61" borderId="0" applyNumberFormat="0" applyBorder="0" applyAlignment="0" applyProtection="0"/>
    <xf numFmtId="0" fontId="11" fillId="62" borderId="0" applyNumberFormat="0" applyBorder="0" applyAlignment="0" applyProtection="0"/>
    <xf numFmtId="0" fontId="11" fillId="63" borderId="0" applyNumberFormat="0" applyBorder="0" applyAlignment="0" applyProtection="0"/>
    <xf numFmtId="0" fontId="9" fillId="0" borderId="0"/>
    <xf numFmtId="0" fontId="8" fillId="0" borderId="0"/>
    <xf numFmtId="0" fontId="8" fillId="40" borderId="130" applyNumberFormat="0" applyFont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5" borderId="0" applyNumberFormat="0" applyBorder="0" applyAlignment="0" applyProtection="0"/>
    <xf numFmtId="0" fontId="8" fillId="57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7" fillId="40" borderId="130" applyNumberFormat="0" applyFont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7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1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40" borderId="130" applyNumberFormat="0" applyFont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40" borderId="130" applyNumberFormat="0" applyFont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0" borderId="0"/>
    <xf numFmtId="0" fontId="3" fillId="40" borderId="13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0" borderId="130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40" borderId="130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40" borderId="130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40" borderId="130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0" borderId="130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0" borderId="130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0" borderId="0"/>
    <xf numFmtId="0" fontId="3" fillId="40" borderId="130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0" borderId="130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0" borderId="0"/>
    <xf numFmtId="0" fontId="3" fillId="0" borderId="0"/>
    <xf numFmtId="0" fontId="3" fillId="40" borderId="130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40" borderId="130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0" borderId="130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0" borderId="130" applyNumberFormat="0" applyFont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137" fillId="0" borderId="0" applyBorder="0"/>
    <xf numFmtId="43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0" fontId="1" fillId="0" borderId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</cellStyleXfs>
  <cellXfs count="954">
    <xf numFmtId="0" fontId="0" fillId="0" borderId="0" xfId="0"/>
    <xf numFmtId="17" fontId="0" fillId="0" borderId="0" xfId="0" applyNumberFormat="1"/>
    <xf numFmtId="0" fontId="0" fillId="0" borderId="0" xfId="0" applyAlignment="1">
      <alignment wrapText="1"/>
    </xf>
    <xf numFmtId="0" fontId="31" fillId="2" borderId="0" xfId="3" applyAlignment="1">
      <alignment wrapText="1"/>
    </xf>
    <xf numFmtId="43" fontId="0" fillId="0" borderId="0" xfId="1" applyFont="1"/>
    <xf numFmtId="43" fontId="0" fillId="0" borderId="0" xfId="0" applyNumberFormat="1"/>
    <xf numFmtId="0" fontId="32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33" fillId="0" borderId="1" xfId="1" applyNumberFormat="1" applyFont="1" applyFill="1" applyBorder="1" applyAlignment="1" applyProtection="1"/>
    <xf numFmtId="0" fontId="32" fillId="0" borderId="1" xfId="0" applyFont="1" applyBorder="1" applyAlignment="1">
      <alignment horizontal="center" wrapText="1"/>
    </xf>
    <xf numFmtId="167" fontId="0" fillId="0" borderId="1" xfId="2" applyNumberFormat="1" applyFont="1" applyFill="1" applyBorder="1" applyAlignment="1" applyProtection="1"/>
    <xf numFmtId="0" fontId="34" fillId="0" borderId="1" xfId="4" applyFont="1" applyBorder="1"/>
    <xf numFmtId="167" fontId="0" fillId="0" borderId="1" xfId="1" applyNumberFormat="1" applyFont="1" applyFill="1" applyBorder="1" applyAlignment="1" applyProtection="1"/>
    <xf numFmtId="167" fontId="0" fillId="0" borderId="0" xfId="0" applyNumberFormat="1"/>
    <xf numFmtId="43" fontId="0" fillId="0" borderId="0" xfId="1" applyFont="1" applyFill="1" applyBorder="1" applyAlignment="1" applyProtection="1"/>
    <xf numFmtId="0" fontId="0" fillId="0" borderId="1" xfId="0" applyBorder="1" applyAlignment="1">
      <alignment wrapText="1"/>
    </xf>
    <xf numFmtId="0" fontId="32" fillId="0" borderId="1" xfId="0" applyFont="1" applyBorder="1" applyAlignment="1">
      <alignment wrapText="1"/>
    </xf>
    <xf numFmtId="167" fontId="32" fillId="0" borderId="1" xfId="1" applyNumberFormat="1" applyFont="1" applyFill="1" applyBorder="1" applyAlignment="1" applyProtection="1"/>
    <xf numFmtId="0" fontId="32" fillId="0" borderId="0" xfId="0" applyFont="1"/>
    <xf numFmtId="167" fontId="32" fillId="0" borderId="0" xfId="0" applyNumberFormat="1" applyFont="1" applyAlignment="1">
      <alignment horizontal="center"/>
    </xf>
    <xf numFmtId="167" fontId="35" fillId="0" borderId="1" xfId="1" applyNumberFormat="1" applyFont="1" applyFill="1" applyBorder="1" applyAlignment="1" applyProtection="1"/>
    <xf numFmtId="167" fontId="33" fillId="5" borderId="1" xfId="1" applyNumberFormat="1" applyFont="1" applyFill="1" applyBorder="1" applyAlignment="1" applyProtection="1"/>
    <xf numFmtId="168" fontId="0" fillId="0" borderId="0" xfId="2" applyNumberFormat="1" applyFont="1" applyFill="1" applyBorder="1" applyAlignment="1" applyProtection="1"/>
    <xf numFmtId="3" fontId="0" fillId="0" borderId="0" xfId="0" applyNumberFormat="1"/>
    <xf numFmtId="167" fontId="37" fillId="0" borderId="0" xfId="0" applyNumberFormat="1" applyFont="1"/>
    <xf numFmtId="167" fontId="0" fillId="0" borderId="0" xfId="1" applyNumberFormat="1" applyFont="1" applyFill="1" applyBorder="1" applyAlignment="1" applyProtection="1"/>
    <xf numFmtId="167" fontId="38" fillId="0" borderId="0" xfId="0" applyNumberFormat="1" applyFont="1" applyAlignment="1">
      <alignment horizontal="center"/>
    </xf>
    <xf numFmtId="167" fontId="37" fillId="0" borderId="1" xfId="1" applyNumberFormat="1" applyFont="1" applyFill="1" applyBorder="1" applyAlignment="1" applyProtection="1"/>
    <xf numFmtId="167" fontId="39" fillId="0" borderId="1" xfId="1" applyNumberFormat="1" applyFont="1" applyFill="1" applyBorder="1" applyAlignment="1" applyProtection="1"/>
    <xf numFmtId="0" fontId="0" fillId="0" borderId="3" xfId="0" applyBorder="1" applyAlignment="1">
      <alignment wrapText="1"/>
    </xf>
    <xf numFmtId="167" fontId="35" fillId="7" borderId="1" xfId="1" applyNumberFormat="1" applyFont="1" applyFill="1" applyBorder="1" applyAlignment="1" applyProtection="1"/>
    <xf numFmtId="167" fontId="32" fillId="0" borderId="0" xfId="1" applyNumberFormat="1" applyFont="1" applyFill="1" applyBorder="1" applyAlignment="1" applyProtection="1"/>
    <xf numFmtId="0" fontId="32" fillId="8" borderId="1" xfId="0" applyFont="1" applyFill="1" applyBorder="1" applyAlignment="1">
      <alignment horizontal="center"/>
    </xf>
    <xf numFmtId="167" fontId="0" fillId="8" borderId="1" xfId="1" applyNumberFormat="1" applyFont="1" applyFill="1" applyBorder="1" applyAlignment="1" applyProtection="1"/>
    <xf numFmtId="167" fontId="32" fillId="8" borderId="1" xfId="1" applyNumberFormat="1" applyFont="1" applyFill="1" applyBorder="1" applyAlignment="1" applyProtection="1"/>
    <xf numFmtId="17" fontId="32" fillId="3" borderId="1" xfId="0" applyNumberFormat="1" applyFont="1" applyFill="1" applyBorder="1" applyAlignment="1">
      <alignment horizontal="center"/>
    </xf>
    <xf numFmtId="167" fontId="33" fillId="7" borderId="1" xfId="1" applyNumberFormat="1" applyFont="1" applyFill="1" applyBorder="1" applyAlignment="1" applyProtection="1"/>
    <xf numFmtId="167" fontId="0" fillId="9" borderId="1" xfId="1" applyNumberFormat="1" applyFont="1" applyFill="1" applyBorder="1" applyAlignment="1" applyProtection="1"/>
    <xf numFmtId="0" fontId="31" fillId="10" borderId="0" xfId="0" applyFont="1" applyFill="1"/>
    <xf numFmtId="0" fontId="31" fillId="11" borderId="0" xfId="0" applyFont="1" applyFill="1" applyAlignment="1">
      <alignment wrapText="1"/>
    </xf>
    <xf numFmtId="0" fontId="31" fillId="11" borderId="0" xfId="0" applyFont="1" applyFill="1" applyAlignment="1">
      <alignment vertical="center" wrapText="1"/>
    </xf>
    <xf numFmtId="0" fontId="31" fillId="12" borderId="0" xfId="0" applyFont="1" applyFill="1" applyAlignment="1">
      <alignment vertical="center" wrapText="1"/>
    </xf>
    <xf numFmtId="0" fontId="31" fillId="13" borderId="0" xfId="0" applyFont="1" applyFill="1" applyAlignment="1">
      <alignment wrapText="1"/>
    </xf>
    <xf numFmtId="0" fontId="32" fillId="4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43" fontId="0" fillId="0" borderId="4" xfId="0" applyNumberFormat="1" applyBorder="1"/>
    <xf numFmtId="0" fontId="0" fillId="0" borderId="4" xfId="0" applyBorder="1"/>
    <xf numFmtId="43" fontId="0" fillId="0" borderId="4" xfId="1" applyFont="1" applyBorder="1"/>
    <xf numFmtId="166" fontId="0" fillId="0" borderId="4" xfId="1" applyNumberFormat="1" applyFont="1" applyFill="1" applyBorder="1" applyAlignment="1" applyProtection="1"/>
    <xf numFmtId="43" fontId="0" fillId="0" borderId="4" xfId="1" applyFont="1" applyFill="1" applyBorder="1" applyAlignment="1" applyProtection="1"/>
    <xf numFmtId="0" fontId="41" fillId="6" borderId="0" xfId="3" applyFont="1" applyFill="1" applyAlignment="1">
      <alignment wrapText="1"/>
    </xf>
    <xf numFmtId="0" fontId="42" fillId="0" borderId="0" xfId="0" applyFont="1"/>
    <xf numFmtId="166" fontId="0" fillId="0" borderId="0" xfId="0" applyNumberFormat="1"/>
    <xf numFmtId="0" fontId="44" fillId="4" borderId="6" xfId="0" applyFont="1" applyFill="1" applyBorder="1" applyAlignment="1">
      <alignment horizontal="center"/>
    </xf>
    <xf numFmtId="0" fontId="44" fillId="4" borderId="7" xfId="0" applyFont="1" applyFill="1" applyBorder="1" applyAlignment="1">
      <alignment horizontal="center" wrapText="1"/>
    </xf>
    <xf numFmtId="0" fontId="45" fillId="0" borderId="8" xfId="0" applyFont="1" applyBorder="1"/>
    <xf numFmtId="0" fontId="45" fillId="0" borderId="9" xfId="0" applyFont="1" applyBorder="1"/>
    <xf numFmtId="43" fontId="45" fillId="0" borderId="9" xfId="1" applyFont="1" applyFill="1" applyBorder="1" applyAlignment="1" applyProtection="1"/>
    <xf numFmtId="43" fontId="45" fillId="0" borderId="10" xfId="1" applyFont="1" applyFill="1" applyBorder="1" applyAlignment="1" applyProtection="1"/>
    <xf numFmtId="9" fontId="0" fillId="0" borderId="0" xfId="2" applyFont="1" applyFill="1" applyBorder="1" applyAlignment="1" applyProtection="1"/>
    <xf numFmtId="0" fontId="45" fillId="0" borderId="8" xfId="0" applyFont="1" applyBorder="1" applyAlignment="1">
      <alignment horizontal="center" wrapText="1"/>
    </xf>
    <xf numFmtId="0" fontId="45" fillId="15" borderId="9" xfId="0" applyFont="1" applyFill="1" applyBorder="1"/>
    <xf numFmtId="43" fontId="45" fillId="15" borderId="10" xfId="1" applyFont="1" applyFill="1" applyBorder="1" applyAlignment="1" applyProtection="1"/>
    <xf numFmtId="166" fontId="0" fillId="0" borderId="1" xfId="0" applyNumberFormat="1" applyBorder="1"/>
    <xf numFmtId="9" fontId="39" fillId="0" borderId="1" xfId="2" applyFont="1" applyFill="1" applyBorder="1" applyAlignment="1" applyProtection="1"/>
    <xf numFmtId="169" fontId="0" fillId="0" borderId="0" xfId="0" applyNumberFormat="1"/>
    <xf numFmtId="0" fontId="36" fillId="4" borderId="8" xfId="0" applyFont="1" applyFill="1" applyBorder="1"/>
    <xf numFmtId="0" fontId="36" fillId="4" borderId="9" xfId="0" applyFont="1" applyFill="1" applyBorder="1"/>
    <xf numFmtId="43" fontId="36" fillId="4" borderId="10" xfId="1" applyFont="1" applyFill="1" applyBorder="1" applyAlignment="1" applyProtection="1"/>
    <xf numFmtId="9" fontId="0" fillId="0" borderId="1" xfId="2" applyFont="1" applyFill="1" applyBorder="1" applyAlignment="1" applyProtection="1"/>
    <xf numFmtId="43" fontId="0" fillId="0" borderId="9" xfId="1" applyFont="1" applyFill="1" applyBorder="1" applyAlignment="1" applyProtection="1"/>
    <xf numFmtId="169" fontId="39" fillId="0" borderId="0" xfId="0" applyNumberFormat="1" applyFont="1"/>
    <xf numFmtId="43" fontId="36" fillId="4" borderId="9" xfId="1" applyFont="1" applyFill="1" applyBorder="1" applyAlignment="1" applyProtection="1"/>
    <xf numFmtId="0" fontId="0" fillId="0" borderId="9" xfId="0" applyBorder="1"/>
    <xf numFmtId="170" fontId="0" fillId="0" borderId="0" xfId="0" applyNumberFormat="1"/>
    <xf numFmtId="43" fontId="45" fillId="15" borderId="9" xfId="1" applyFont="1" applyFill="1" applyBorder="1" applyAlignment="1" applyProtection="1"/>
    <xf numFmtId="43" fontId="36" fillId="4" borderId="12" xfId="1" applyFont="1" applyFill="1" applyBorder="1" applyAlignment="1" applyProtection="1"/>
    <xf numFmtId="43" fontId="36" fillId="4" borderId="13" xfId="1" applyFont="1" applyFill="1" applyBorder="1" applyAlignment="1" applyProtection="1"/>
    <xf numFmtId="169" fontId="32" fillId="0" borderId="0" xfId="0" applyNumberFormat="1" applyFont="1"/>
    <xf numFmtId="166" fontId="0" fillId="0" borderId="0" xfId="2" applyNumberFormat="1" applyFont="1" applyFill="1" applyBorder="1" applyAlignment="1" applyProtection="1"/>
    <xf numFmtId="0" fontId="46" fillId="4" borderId="15" xfId="0" applyFont="1" applyFill="1" applyBorder="1" applyAlignment="1">
      <alignment horizontal="center"/>
    </xf>
    <xf numFmtId="0" fontId="46" fillId="4" borderId="16" xfId="0" applyFont="1" applyFill="1" applyBorder="1" applyAlignment="1">
      <alignment horizontal="center" wrapText="1"/>
    </xf>
    <xf numFmtId="43" fontId="0" fillId="0" borderId="14" xfId="1" applyFont="1" applyFill="1" applyBorder="1" applyAlignment="1" applyProtection="1"/>
    <xf numFmtId="43" fontId="0" fillId="0" borderId="15" xfId="1" applyFont="1" applyFill="1" applyBorder="1" applyAlignment="1" applyProtection="1"/>
    <xf numFmtId="168" fontId="0" fillId="0" borderId="17" xfId="2" applyNumberFormat="1" applyFont="1" applyFill="1" applyBorder="1" applyAlignment="1" applyProtection="1"/>
    <xf numFmtId="43" fontId="0" fillId="0" borderId="18" xfId="1" applyFont="1" applyFill="1" applyBorder="1" applyAlignment="1" applyProtection="1"/>
    <xf numFmtId="43" fontId="0" fillId="0" borderId="19" xfId="1" applyFont="1" applyFill="1" applyBorder="1" applyAlignment="1" applyProtection="1"/>
    <xf numFmtId="43" fontId="0" fillId="0" borderId="20" xfId="1" applyFont="1" applyFill="1" applyBorder="1" applyAlignment="1" applyProtection="1"/>
    <xf numFmtId="0" fontId="47" fillId="0" borderId="0" xfId="0" applyFont="1"/>
    <xf numFmtId="3" fontId="48" fillId="0" borderId="0" xfId="0" applyNumberFormat="1" applyFont="1"/>
    <xf numFmtId="0" fontId="49" fillId="0" borderId="0" xfId="0" applyFont="1"/>
    <xf numFmtId="43" fontId="46" fillId="4" borderId="6" xfId="1" applyFont="1" applyFill="1" applyBorder="1" applyAlignment="1" applyProtection="1">
      <alignment horizontal="center"/>
    </xf>
    <xf numFmtId="43" fontId="46" fillId="4" borderId="7" xfId="1" applyFont="1" applyFill="1" applyBorder="1" applyAlignment="1" applyProtection="1">
      <alignment horizontal="center" wrapText="1"/>
    </xf>
    <xf numFmtId="43" fontId="0" fillId="0" borderId="8" xfId="1" applyFont="1" applyFill="1" applyBorder="1" applyAlignment="1" applyProtection="1"/>
    <xf numFmtId="43" fontId="43" fillId="0" borderId="9" xfId="1" applyFont="1" applyFill="1" applyBorder="1" applyAlignment="1" applyProtection="1"/>
    <xf numFmtId="43" fontId="43" fillId="0" borderId="10" xfId="1" applyFont="1" applyFill="1" applyBorder="1" applyAlignment="1" applyProtection="1"/>
    <xf numFmtId="43" fontId="0" fillId="0" borderId="21" xfId="1" applyFont="1" applyFill="1" applyBorder="1" applyAlignment="1" applyProtection="1"/>
    <xf numFmtId="43" fontId="0" fillId="0" borderId="22" xfId="1" applyFont="1" applyFill="1" applyBorder="1" applyAlignment="1" applyProtection="1">
      <alignment horizontal="center" wrapText="1"/>
    </xf>
    <xf numFmtId="43" fontId="0" fillId="15" borderId="9" xfId="1" applyFont="1" applyFill="1" applyBorder="1" applyAlignment="1" applyProtection="1"/>
    <xf numFmtId="43" fontId="0" fillId="0" borderId="22" xfId="1" applyFont="1" applyFill="1" applyBorder="1" applyAlignment="1" applyProtection="1"/>
    <xf numFmtId="43" fontId="0" fillId="0" borderId="23" xfId="1" applyFont="1" applyFill="1" applyBorder="1" applyAlignment="1" applyProtection="1"/>
    <xf numFmtId="43" fontId="32" fillId="4" borderId="9" xfId="1" applyFont="1" applyFill="1" applyBorder="1" applyAlignment="1" applyProtection="1"/>
    <xf numFmtId="43" fontId="0" fillId="15" borderId="8" xfId="1" applyFont="1" applyFill="1" applyBorder="1" applyAlignment="1" applyProtection="1"/>
    <xf numFmtId="43" fontId="43" fillId="15" borderId="9" xfId="1" applyFont="1" applyFill="1" applyBorder="1" applyAlignment="1" applyProtection="1"/>
    <xf numFmtId="43" fontId="43" fillId="15" borderId="10" xfId="1" applyFont="1" applyFill="1" applyBorder="1" applyAlignment="1" applyProtection="1"/>
    <xf numFmtId="0" fontId="0" fillId="15" borderId="0" xfId="0" applyFill="1"/>
    <xf numFmtId="0" fontId="44" fillId="4" borderId="15" xfId="0" applyFont="1" applyFill="1" applyBorder="1" applyAlignment="1">
      <alignment horizontal="center"/>
    </xf>
    <xf numFmtId="0" fontId="44" fillId="4" borderId="16" xfId="0" applyFont="1" applyFill="1" applyBorder="1" applyAlignment="1">
      <alignment horizontal="center" wrapText="1"/>
    </xf>
    <xf numFmtId="0" fontId="39" fillId="0" borderId="0" xfId="0" applyFont="1"/>
    <xf numFmtId="43" fontId="43" fillId="0" borderId="15" xfId="1" applyFont="1" applyFill="1" applyBorder="1" applyAlignment="1" applyProtection="1"/>
    <xf numFmtId="43" fontId="43" fillId="0" borderId="19" xfId="1" applyFont="1" applyFill="1" applyBorder="1" applyAlignment="1" applyProtection="1"/>
    <xf numFmtId="43" fontId="43" fillId="0" borderId="20" xfId="1" applyFont="1" applyFill="1" applyBorder="1" applyAlignment="1" applyProtection="1"/>
    <xf numFmtId="0" fontId="0" fillId="0" borderId="24" xfId="0" applyBorder="1"/>
    <xf numFmtId="43" fontId="32" fillId="6" borderId="9" xfId="1" applyFont="1" applyFill="1" applyBorder="1" applyAlignment="1" applyProtection="1"/>
    <xf numFmtId="43" fontId="44" fillId="6" borderId="10" xfId="1" applyFont="1" applyFill="1" applyBorder="1" applyAlignment="1" applyProtection="1"/>
    <xf numFmtId="43" fontId="32" fillId="6" borderId="8" xfId="1" applyFont="1" applyFill="1" applyBorder="1" applyAlignment="1" applyProtection="1"/>
    <xf numFmtId="0" fontId="51" fillId="0" borderId="0" xfId="0" applyFont="1" applyAlignment="1">
      <alignment horizontal="center"/>
    </xf>
    <xf numFmtId="166" fontId="0" fillId="0" borderId="0" xfId="1" applyNumberFormat="1" applyFont="1" applyFill="1" applyBorder="1" applyAlignment="1" applyProtection="1"/>
    <xf numFmtId="170" fontId="0" fillId="0" borderId="0" xfId="1" applyNumberFormat="1" applyFont="1" applyFill="1" applyBorder="1" applyAlignment="1" applyProtection="1"/>
    <xf numFmtId="0" fontId="50" fillId="0" borderId="0" xfId="0" applyFont="1" applyAlignment="1">
      <alignment horizontal="center"/>
    </xf>
    <xf numFmtId="0" fontId="43" fillId="0" borderId="0" xfId="0" applyFont="1"/>
    <xf numFmtId="2" fontId="0" fillId="0" borderId="0" xfId="0" applyNumberFormat="1"/>
    <xf numFmtId="0" fontId="46" fillId="16" borderId="6" xfId="0" applyFont="1" applyFill="1" applyBorder="1" applyAlignment="1">
      <alignment horizontal="center"/>
    </xf>
    <xf numFmtId="166" fontId="46" fillId="16" borderId="6" xfId="1" applyNumberFormat="1" applyFont="1" applyFill="1" applyBorder="1" applyAlignment="1" applyProtection="1">
      <alignment horizontal="center"/>
    </xf>
    <xf numFmtId="0" fontId="46" fillId="4" borderId="7" xfId="0" applyFont="1" applyFill="1" applyBorder="1" applyAlignment="1">
      <alignment horizontal="center" wrapText="1"/>
    </xf>
    <xf numFmtId="0" fontId="0" fillId="0" borderId="11" xfId="0" applyBorder="1"/>
    <xf numFmtId="0" fontId="0" fillId="0" borderId="12" xfId="0" applyBorder="1"/>
    <xf numFmtId="43" fontId="0" fillId="0" borderId="12" xfId="1" applyFont="1" applyFill="1" applyBorder="1" applyAlignment="1" applyProtection="1"/>
    <xf numFmtId="43" fontId="0" fillId="0" borderId="13" xfId="1" applyFont="1" applyFill="1" applyBorder="1" applyAlignment="1" applyProtection="1"/>
    <xf numFmtId="0" fontId="52" fillId="0" borderId="0" xfId="0" applyFont="1" applyAlignment="1">
      <alignment horizontal="center" wrapText="1"/>
    </xf>
    <xf numFmtId="0" fontId="0" fillId="0" borderId="25" xfId="0" applyBorder="1"/>
    <xf numFmtId="43" fontId="0" fillId="0" borderId="25" xfId="1" applyFont="1" applyFill="1" applyBorder="1" applyAlignment="1" applyProtection="1"/>
    <xf numFmtId="43" fontId="0" fillId="0" borderId="26" xfId="1" applyFont="1" applyFill="1" applyBorder="1" applyAlignment="1" applyProtection="1"/>
    <xf numFmtId="166" fontId="0" fillId="0" borderId="9" xfId="1" applyNumberFormat="1" applyFont="1" applyFill="1" applyBorder="1" applyAlignment="1" applyProtection="1"/>
    <xf numFmtId="170" fontId="0" fillId="0" borderId="9" xfId="1" applyNumberFormat="1" applyFont="1" applyFill="1" applyBorder="1" applyAlignment="1" applyProtection="1"/>
    <xf numFmtId="43" fontId="0" fillId="0" borderId="10" xfId="1" applyFont="1" applyFill="1" applyBorder="1" applyAlignment="1" applyProtection="1"/>
    <xf numFmtId="0" fontId="0" fillId="17" borderId="9" xfId="0" applyFill="1" applyBorder="1"/>
    <xf numFmtId="43" fontId="0" fillId="17" borderId="9" xfId="1" applyFont="1" applyFill="1" applyBorder="1" applyAlignment="1" applyProtection="1"/>
    <xf numFmtId="43" fontId="0" fillId="17" borderId="10" xfId="1" applyFont="1" applyFill="1" applyBorder="1" applyAlignment="1" applyProtection="1"/>
    <xf numFmtId="0" fontId="32" fillId="4" borderId="8" xfId="0" applyFont="1" applyFill="1" applyBorder="1"/>
    <xf numFmtId="0" fontId="32" fillId="4" borderId="9" xfId="0" applyFont="1" applyFill="1" applyBorder="1"/>
    <xf numFmtId="170" fontId="32" fillId="4" borderId="9" xfId="1" applyNumberFormat="1" applyFont="1" applyFill="1" applyBorder="1" applyAlignment="1" applyProtection="1"/>
    <xf numFmtId="0" fontId="32" fillId="4" borderId="0" xfId="0" applyFont="1" applyFill="1"/>
    <xf numFmtId="0" fontId="53" fillId="4" borderId="0" xfId="0" applyFont="1" applyFill="1" applyAlignment="1">
      <alignment horizontal="center" wrapText="1"/>
    </xf>
    <xf numFmtId="0" fontId="0" fillId="0" borderId="21" xfId="0" applyBorder="1"/>
    <xf numFmtId="43" fontId="52" fillId="0" borderId="0" xfId="1" applyFont="1" applyFill="1" applyBorder="1" applyAlignment="1" applyProtection="1">
      <alignment horizontal="center" wrapText="1"/>
    </xf>
    <xf numFmtId="166" fontId="52" fillId="0" borderId="0" xfId="0" applyNumberFormat="1" applyFont="1" applyAlignment="1">
      <alignment horizontal="center" wrapText="1"/>
    </xf>
    <xf numFmtId="43" fontId="32" fillId="4" borderId="10" xfId="1" applyFont="1" applyFill="1" applyBorder="1" applyAlignment="1" applyProtection="1"/>
    <xf numFmtId="166" fontId="53" fillId="4" borderId="0" xfId="0" applyNumberFormat="1" applyFont="1" applyFill="1" applyAlignment="1">
      <alignment horizontal="center" wrapText="1"/>
    </xf>
    <xf numFmtId="171" fontId="52" fillId="0" borderId="0" xfId="1" applyNumberFormat="1" applyFont="1" applyFill="1" applyBorder="1" applyAlignment="1" applyProtection="1">
      <alignment horizontal="center" wrapText="1"/>
    </xf>
    <xf numFmtId="0" fontId="0" fillId="0" borderId="23" xfId="0" applyBorder="1"/>
    <xf numFmtId="166" fontId="32" fillId="4" borderId="9" xfId="5" applyFont="1" applyFill="1" applyBorder="1" applyAlignment="1" applyProtection="1"/>
    <xf numFmtId="166" fontId="32" fillId="4" borderId="0" xfId="0" applyNumberFormat="1" applyFont="1" applyFill="1"/>
    <xf numFmtId="43" fontId="32" fillId="4" borderId="0" xfId="1" applyFont="1" applyFill="1" applyBorder="1" applyAlignment="1" applyProtection="1"/>
    <xf numFmtId="0" fontId="0" fillId="0" borderId="8" xfId="0" applyBorder="1"/>
    <xf numFmtId="170" fontId="50" fillId="4" borderId="12" xfId="1" applyNumberFormat="1" applyFont="1" applyFill="1" applyBorder="1" applyAlignment="1" applyProtection="1"/>
    <xf numFmtId="166" fontId="50" fillId="4" borderId="12" xfId="1" applyNumberFormat="1" applyFont="1" applyFill="1" applyBorder="1" applyAlignment="1" applyProtection="1"/>
    <xf numFmtId="43" fontId="50" fillId="4" borderId="12" xfId="1" applyFont="1" applyFill="1" applyBorder="1" applyAlignment="1" applyProtection="1"/>
    <xf numFmtId="43" fontId="50" fillId="4" borderId="0" xfId="1" applyFont="1" applyFill="1" applyBorder="1" applyAlignment="1" applyProtection="1"/>
    <xf numFmtId="0" fontId="50" fillId="4" borderId="0" xfId="0" applyFont="1" applyFill="1"/>
    <xf numFmtId="166" fontId="39" fillId="0" borderId="0" xfId="0" applyNumberFormat="1" applyFont="1"/>
    <xf numFmtId="0" fontId="44" fillId="4" borderId="28" xfId="0" applyFont="1" applyFill="1" applyBorder="1" applyAlignment="1">
      <alignment horizontal="center"/>
    </xf>
    <xf numFmtId="166" fontId="44" fillId="4" borderId="28" xfId="1" applyNumberFormat="1" applyFont="1" applyFill="1" applyBorder="1" applyAlignment="1" applyProtection="1">
      <alignment horizontal="center"/>
    </xf>
    <xf numFmtId="170" fontId="44" fillId="4" borderId="28" xfId="1" applyNumberFormat="1" applyFont="1" applyFill="1" applyBorder="1" applyAlignment="1" applyProtection="1">
      <alignment horizontal="center"/>
    </xf>
    <xf numFmtId="2" fontId="44" fillId="4" borderId="28" xfId="0" applyNumberFormat="1" applyFont="1" applyFill="1" applyBorder="1" applyAlignment="1">
      <alignment horizontal="center"/>
    </xf>
    <xf numFmtId="0" fontId="44" fillId="4" borderId="29" xfId="0" applyFont="1" applyFill="1" applyBorder="1" applyAlignment="1">
      <alignment horizontal="center" wrapText="1"/>
    </xf>
    <xf numFmtId="0" fontId="0" fillId="0" borderId="30" xfId="0" applyBorder="1"/>
    <xf numFmtId="0" fontId="0" fillId="0" borderId="3" xfId="0" applyBorder="1"/>
    <xf numFmtId="43" fontId="0" fillId="0" borderId="3" xfId="1" applyFont="1" applyFill="1" applyBorder="1" applyAlignment="1" applyProtection="1"/>
    <xf numFmtId="166" fontId="0" fillId="0" borderId="3" xfId="1" applyNumberFormat="1" applyFont="1" applyFill="1" applyBorder="1" applyAlignment="1" applyProtection="1"/>
    <xf numFmtId="170" fontId="0" fillId="0" borderId="3" xfId="1" applyNumberFormat="1" applyFont="1" applyFill="1" applyBorder="1" applyAlignment="1" applyProtection="1"/>
    <xf numFmtId="0" fontId="0" fillId="0" borderId="18" xfId="0" applyBorder="1"/>
    <xf numFmtId="0" fontId="0" fillId="0" borderId="19" xfId="0" applyBorder="1"/>
    <xf numFmtId="166" fontId="0" fillId="0" borderId="19" xfId="1" applyNumberFormat="1" applyFont="1" applyFill="1" applyBorder="1" applyAlignment="1" applyProtection="1"/>
    <xf numFmtId="170" fontId="0" fillId="0" borderId="19" xfId="1" applyNumberFormat="1" applyFont="1" applyFill="1" applyBorder="1" applyAlignment="1" applyProtection="1"/>
    <xf numFmtId="170" fontId="43" fillId="0" borderId="0" xfId="1" applyNumberFormat="1" applyFont="1" applyFill="1" applyBorder="1" applyAlignment="1" applyProtection="1"/>
    <xf numFmtId="167" fontId="43" fillId="0" borderId="0" xfId="0" applyNumberFormat="1" applyFont="1"/>
    <xf numFmtId="167" fontId="43" fillId="0" borderId="0" xfId="1" applyNumberFormat="1" applyFont="1" applyFill="1" applyBorder="1" applyAlignment="1" applyProtection="1"/>
    <xf numFmtId="166" fontId="43" fillId="0" borderId="0" xfId="1" applyNumberFormat="1" applyFont="1" applyFill="1" applyBorder="1" applyAlignment="1" applyProtection="1"/>
    <xf numFmtId="0" fontId="0" fillId="0" borderId="31" xfId="0" applyBorder="1"/>
    <xf numFmtId="166" fontId="0" fillId="0" borderId="32" xfId="1" applyNumberFormat="1" applyFont="1" applyFill="1" applyBorder="1" applyAlignment="1" applyProtection="1"/>
    <xf numFmtId="0" fontId="0" fillId="0" borderId="33" xfId="0" applyBorder="1"/>
    <xf numFmtId="166" fontId="0" fillId="0" borderId="34" xfId="1" applyNumberFormat="1" applyFont="1" applyFill="1" applyBorder="1" applyAlignment="1" applyProtection="1"/>
    <xf numFmtId="172" fontId="0" fillId="0" borderId="0" xfId="1" applyNumberFormat="1" applyFont="1" applyFill="1" applyBorder="1" applyAlignment="1" applyProtection="1"/>
    <xf numFmtId="43" fontId="0" fillId="0" borderId="33" xfId="1" applyFont="1" applyFill="1" applyBorder="1" applyAlignment="1" applyProtection="1"/>
    <xf numFmtId="0" fontId="0" fillId="0" borderId="35" xfId="0" applyBorder="1"/>
    <xf numFmtId="166" fontId="0" fillId="0" borderId="36" xfId="1" applyNumberFormat="1" applyFont="1" applyFill="1" applyBorder="1" applyAlignment="1" applyProtection="1"/>
    <xf numFmtId="170" fontId="54" fillId="0" borderId="0" xfId="1" applyNumberFormat="1" applyFont="1" applyFill="1" applyBorder="1" applyAlignment="1" applyProtection="1"/>
    <xf numFmtId="166" fontId="32" fillId="0" borderId="0" xfId="0" applyNumberFormat="1" applyFont="1"/>
    <xf numFmtId="170" fontId="45" fillId="0" borderId="0" xfId="1" applyNumberFormat="1" applyFont="1" applyFill="1" applyBorder="1" applyAlignment="1" applyProtection="1"/>
    <xf numFmtId="170" fontId="0" fillId="0" borderId="0" xfId="5" applyNumberFormat="1" applyFont="1" applyFill="1" applyBorder="1" applyAlignment="1" applyProtection="1"/>
    <xf numFmtId="166" fontId="0" fillId="0" borderId="0" xfId="5" applyFont="1" applyFill="1" applyBorder="1" applyAlignment="1" applyProtection="1"/>
    <xf numFmtId="173" fontId="50" fillId="0" borderId="0" xfId="0" applyNumberFormat="1" applyFont="1" applyAlignment="1">
      <alignment horizontal="center"/>
    </xf>
    <xf numFmtId="170" fontId="50" fillId="0" borderId="0" xfId="0" applyNumberFormat="1" applyFont="1" applyAlignment="1">
      <alignment horizontal="center"/>
    </xf>
    <xf numFmtId="174" fontId="0" fillId="0" borderId="0" xfId="0" applyNumberFormat="1"/>
    <xf numFmtId="1" fontId="37" fillId="0" borderId="0" xfId="0" applyNumberFormat="1" applyFont="1" applyAlignment="1">
      <alignment horizontal="center"/>
    </xf>
    <xf numFmtId="1" fontId="37" fillId="0" borderId="0" xfId="2" applyNumberFormat="1" applyFont="1" applyFill="1" applyBorder="1" applyAlignment="1" applyProtection="1">
      <alignment horizontal="center"/>
    </xf>
    <xf numFmtId="1" fontId="37" fillId="0" borderId="0" xfId="5" applyNumberFormat="1" applyFont="1" applyFill="1" applyBorder="1" applyAlignment="1" applyProtection="1">
      <alignment horizontal="center"/>
    </xf>
    <xf numFmtId="0" fontId="37" fillId="0" borderId="0" xfId="0" applyFont="1"/>
    <xf numFmtId="0" fontId="46" fillId="4" borderId="0" xfId="0" applyFont="1" applyFill="1" applyAlignment="1">
      <alignment horizontal="center" wrapText="1"/>
    </xf>
    <xf numFmtId="0" fontId="0" fillId="18" borderId="8" xfId="0" applyFill="1" applyBorder="1" applyAlignment="1">
      <alignment wrapText="1"/>
    </xf>
    <xf numFmtId="0" fontId="0" fillId="18" borderId="9" xfId="0" applyFill="1" applyBorder="1"/>
    <xf numFmtId="166" fontId="0" fillId="18" borderId="9" xfId="5" applyFont="1" applyFill="1" applyBorder="1" applyAlignment="1" applyProtection="1"/>
    <xf numFmtId="166" fontId="0" fillId="18" borderId="10" xfId="5" applyFont="1" applyFill="1" applyBorder="1" applyAlignment="1" applyProtection="1"/>
    <xf numFmtId="166" fontId="55" fillId="0" borderId="37" xfId="5" applyFont="1" applyFill="1" applyBorder="1" applyAlignment="1" applyProtection="1">
      <alignment wrapText="1"/>
    </xf>
    <xf numFmtId="166" fontId="0" fillId="0" borderId="9" xfId="5" applyFont="1" applyFill="1" applyBorder="1" applyAlignment="1" applyProtection="1"/>
    <xf numFmtId="166" fontId="0" fillId="0" borderId="10" xfId="5" applyFont="1" applyFill="1" applyBorder="1" applyAlignment="1" applyProtection="1"/>
    <xf numFmtId="0" fontId="0" fillId="15" borderId="9" xfId="0" applyFill="1" applyBorder="1"/>
    <xf numFmtId="166" fontId="0" fillId="15" borderId="9" xfId="5" applyFont="1" applyFill="1" applyBorder="1" applyAlignment="1" applyProtection="1"/>
    <xf numFmtId="170" fontId="0" fillId="15" borderId="9" xfId="5" applyNumberFormat="1" applyFont="1" applyFill="1" applyBorder="1" applyAlignment="1" applyProtection="1"/>
    <xf numFmtId="0" fontId="54" fillId="0" borderId="0" xfId="0" applyFont="1"/>
    <xf numFmtId="170" fontId="32" fillId="4" borderId="9" xfId="5" applyNumberFormat="1" applyFont="1" applyFill="1" applyBorder="1" applyAlignment="1" applyProtection="1"/>
    <xf numFmtId="173" fontId="32" fillId="4" borderId="9" xfId="5" applyNumberFormat="1" applyFont="1" applyFill="1" applyBorder="1" applyAlignment="1" applyProtection="1"/>
    <xf numFmtId="166" fontId="32" fillId="4" borderId="10" xfId="5" applyFont="1" applyFill="1" applyBorder="1" applyAlignment="1" applyProtection="1"/>
    <xf numFmtId="166" fontId="32" fillId="4" borderId="0" xfId="5" applyFont="1" applyFill="1" applyBorder="1" applyAlignment="1" applyProtection="1"/>
    <xf numFmtId="0" fontId="56" fillId="4" borderId="8" xfId="0" applyFont="1" applyFill="1" applyBorder="1"/>
    <xf numFmtId="0" fontId="56" fillId="4" borderId="9" xfId="0" applyFont="1" applyFill="1" applyBorder="1"/>
    <xf numFmtId="170" fontId="56" fillId="4" borderId="9" xfId="5" applyNumberFormat="1" applyFont="1" applyFill="1" applyBorder="1" applyAlignment="1" applyProtection="1"/>
    <xf numFmtId="173" fontId="56" fillId="4" borderId="9" xfId="5" applyNumberFormat="1" applyFont="1" applyFill="1" applyBorder="1" applyAlignment="1" applyProtection="1"/>
    <xf numFmtId="166" fontId="56" fillId="4" borderId="10" xfId="5" applyFont="1" applyFill="1" applyBorder="1" applyAlignment="1" applyProtection="1"/>
    <xf numFmtId="166" fontId="39" fillId="0" borderId="37" xfId="5" applyFont="1" applyFill="1" applyBorder="1" applyAlignment="1" applyProtection="1">
      <alignment wrapText="1"/>
    </xf>
    <xf numFmtId="0" fontId="56" fillId="4" borderId="0" xfId="0" applyFont="1" applyFill="1"/>
    <xf numFmtId="166" fontId="56" fillId="4" borderId="0" xfId="5" applyFont="1" applyFill="1" applyBorder="1" applyAlignment="1" applyProtection="1"/>
    <xf numFmtId="166" fontId="56" fillId="4" borderId="40" xfId="5" applyFont="1" applyFill="1" applyBorder="1" applyAlignment="1" applyProtection="1"/>
    <xf numFmtId="166" fontId="39" fillId="0" borderId="10" xfId="5" applyFont="1" applyFill="1" applyBorder="1" applyAlignment="1" applyProtection="1"/>
    <xf numFmtId="2" fontId="32" fillId="4" borderId="9" xfId="5" applyNumberFormat="1" applyFont="1" applyFill="1" applyBorder="1" applyAlignment="1" applyProtection="1"/>
    <xf numFmtId="0" fontId="56" fillId="4" borderId="21" xfId="0" applyFont="1" applyFill="1" applyBorder="1"/>
    <xf numFmtId="2" fontId="56" fillId="4" borderId="9" xfId="5" applyNumberFormat="1" applyFont="1" applyFill="1" applyBorder="1" applyAlignment="1" applyProtection="1"/>
    <xf numFmtId="3" fontId="57" fillId="0" borderId="41" xfId="0" applyNumberFormat="1" applyFont="1" applyBorder="1" applyAlignment="1">
      <alignment horizontal="center" vertical="center" wrapText="1"/>
    </xf>
    <xf numFmtId="3" fontId="57" fillId="0" borderId="42" xfId="0" applyNumberFormat="1" applyFont="1" applyBorder="1" applyAlignment="1">
      <alignment horizontal="center" vertical="center" wrapText="1"/>
    </xf>
    <xf numFmtId="3" fontId="57" fillId="0" borderId="43" xfId="0" applyNumberFormat="1" applyFont="1" applyBorder="1" applyAlignment="1">
      <alignment horizontal="center" vertical="center" wrapText="1"/>
    </xf>
    <xf numFmtId="3" fontId="57" fillId="0" borderId="44" xfId="0" applyNumberFormat="1" applyFont="1" applyBorder="1" applyAlignment="1">
      <alignment horizontal="center" vertical="center" wrapText="1"/>
    </xf>
    <xf numFmtId="3" fontId="57" fillId="0" borderId="45" xfId="0" applyNumberFormat="1" applyFont="1" applyBorder="1" applyAlignment="1">
      <alignment horizontal="center" vertical="center" wrapText="1"/>
    </xf>
    <xf numFmtId="3" fontId="57" fillId="0" borderId="46" xfId="0" applyNumberFormat="1" applyFont="1" applyBorder="1" applyAlignment="1">
      <alignment horizontal="center" vertical="center" wrapText="1"/>
    </xf>
    <xf numFmtId="166" fontId="0" fillId="15" borderId="10" xfId="5" applyFont="1" applyFill="1" applyBorder="1" applyAlignment="1" applyProtection="1"/>
    <xf numFmtId="166" fontId="0" fillId="15" borderId="0" xfId="5" applyFont="1" applyFill="1" applyBorder="1" applyAlignment="1" applyProtection="1"/>
    <xf numFmtId="170" fontId="50" fillId="4" borderId="12" xfId="5" applyNumberFormat="1" applyFont="1" applyFill="1" applyBorder="1" applyAlignment="1" applyProtection="1"/>
    <xf numFmtId="166" fontId="50" fillId="4" borderId="12" xfId="5" applyFont="1" applyFill="1" applyBorder="1" applyAlignment="1" applyProtection="1"/>
    <xf numFmtId="166" fontId="50" fillId="4" borderId="0" xfId="5" applyFont="1" applyFill="1" applyBorder="1" applyAlignment="1" applyProtection="1"/>
    <xf numFmtId="170" fontId="46" fillId="4" borderId="15" xfId="5" applyNumberFormat="1" applyFont="1" applyFill="1" applyBorder="1" applyAlignment="1" applyProtection="1">
      <alignment horizontal="center"/>
    </xf>
    <xf numFmtId="166" fontId="46" fillId="4" borderId="15" xfId="5" applyFont="1" applyFill="1" applyBorder="1" applyAlignment="1" applyProtection="1">
      <alignment horizontal="center"/>
    </xf>
    <xf numFmtId="166" fontId="36" fillId="4" borderId="0" xfId="5" applyFont="1" applyFill="1" applyBorder="1" applyAlignment="1" applyProtection="1">
      <alignment horizontal="center" wrapText="1"/>
    </xf>
    <xf numFmtId="166" fontId="0" fillId="0" borderId="14" xfId="5" applyFont="1" applyFill="1" applyBorder="1" applyAlignment="1" applyProtection="1"/>
    <xf numFmtId="166" fontId="0" fillId="0" borderId="15" xfId="5" applyFont="1" applyFill="1" applyBorder="1" applyAlignment="1" applyProtection="1"/>
    <xf numFmtId="170" fontId="0" fillId="0" borderId="15" xfId="5" applyNumberFormat="1" applyFont="1" applyFill="1" applyBorder="1" applyAlignment="1" applyProtection="1"/>
    <xf numFmtId="166" fontId="0" fillId="0" borderId="18" xfId="5" applyFont="1" applyFill="1" applyBorder="1" applyAlignment="1" applyProtection="1"/>
    <xf numFmtId="166" fontId="0" fillId="0" borderId="19" xfId="5" applyFont="1" applyFill="1" applyBorder="1" applyAlignment="1" applyProtection="1"/>
    <xf numFmtId="170" fontId="0" fillId="0" borderId="19" xfId="5" applyNumberFormat="1" applyFont="1" applyFill="1" applyBorder="1" applyAlignment="1" applyProtection="1"/>
    <xf numFmtId="0" fontId="46" fillId="4" borderId="47" xfId="0" applyFont="1" applyFill="1" applyBorder="1" applyAlignment="1">
      <alignment horizontal="center"/>
    </xf>
    <xf numFmtId="170" fontId="46" fillId="4" borderId="47" xfId="5" applyNumberFormat="1" applyFont="1" applyFill="1" applyBorder="1" applyAlignment="1" applyProtection="1">
      <alignment horizontal="center"/>
    </xf>
    <xf numFmtId="166" fontId="46" fillId="4" borderId="47" xfId="5" applyFont="1" applyFill="1" applyBorder="1" applyAlignment="1" applyProtection="1">
      <alignment horizontal="center"/>
    </xf>
    <xf numFmtId="0" fontId="46" fillId="4" borderId="47" xfId="0" applyFont="1" applyFill="1" applyBorder="1" applyAlignment="1">
      <alignment horizontal="center" wrapText="1"/>
    </xf>
    <xf numFmtId="166" fontId="46" fillId="4" borderId="0" xfId="5" applyFont="1" applyFill="1" applyBorder="1" applyAlignment="1" applyProtection="1">
      <alignment horizontal="center" wrapText="1"/>
    </xf>
    <xf numFmtId="170" fontId="0" fillId="0" borderId="1" xfId="5" applyNumberFormat="1" applyFont="1" applyFill="1" applyBorder="1" applyAlignment="1" applyProtection="1"/>
    <xf numFmtId="166" fontId="0" fillId="0" borderId="1" xfId="5" applyFont="1" applyFill="1" applyBorder="1" applyAlignment="1" applyProtection="1"/>
    <xf numFmtId="9" fontId="0" fillId="0" borderId="1" xfId="5" applyNumberFormat="1" applyFont="1" applyFill="1" applyBorder="1" applyAlignment="1" applyProtection="1"/>
    <xf numFmtId="9" fontId="0" fillId="4" borderId="1" xfId="5" applyNumberFormat="1" applyFont="1" applyFill="1" applyBorder="1" applyAlignment="1" applyProtection="1"/>
    <xf numFmtId="170" fontId="0" fillId="4" borderId="1" xfId="5" applyNumberFormat="1" applyFont="1" applyFill="1" applyBorder="1" applyAlignment="1" applyProtection="1"/>
    <xf numFmtId="166" fontId="0" fillId="4" borderId="1" xfId="5" applyFont="1" applyFill="1" applyBorder="1" applyAlignment="1" applyProtection="1"/>
    <xf numFmtId="166" fontId="33" fillId="0" borderId="0" xfId="5"/>
    <xf numFmtId="176" fontId="0" fillId="0" borderId="0" xfId="0" applyNumberFormat="1"/>
    <xf numFmtId="166" fontId="43" fillId="0" borderId="0" xfId="5" applyFont="1" applyFill="1" applyBorder="1" applyAlignment="1" applyProtection="1"/>
    <xf numFmtId="0" fontId="58" fillId="0" borderId="0" xfId="0" applyFont="1"/>
    <xf numFmtId="166" fontId="59" fillId="0" borderId="0" xfId="5" applyFont="1" applyFill="1" applyBorder="1" applyAlignment="1" applyProtection="1"/>
    <xf numFmtId="166" fontId="45" fillId="0" borderId="0" xfId="5" applyFont="1" applyFill="1" applyBorder="1" applyAlignment="1" applyProtection="1"/>
    <xf numFmtId="166" fontId="60" fillId="0" borderId="0" xfId="5" applyFont="1" applyFill="1" applyBorder="1" applyAlignment="1" applyProtection="1"/>
    <xf numFmtId="166" fontId="0" fillId="0" borderId="0" xfId="5" applyFont="1" applyFill="1" applyBorder="1" applyAlignment="1" applyProtection="1">
      <alignment horizontal="center"/>
    </xf>
    <xf numFmtId="0" fontId="44" fillId="0" borderId="43" xfId="0" applyFont="1" applyBorder="1" applyAlignment="1">
      <alignment vertical="top" wrapText="1"/>
    </xf>
    <xf numFmtId="0" fontId="61" fillId="19" borderId="44" xfId="0" applyFont="1" applyFill="1" applyBorder="1" applyAlignment="1">
      <alignment horizontal="center" vertical="top" wrapText="1"/>
    </xf>
    <xf numFmtId="0" fontId="44" fillId="0" borderId="45" xfId="0" applyFont="1" applyBorder="1" applyAlignment="1">
      <alignment vertical="top" wrapText="1"/>
    </xf>
    <xf numFmtId="0" fontId="61" fillId="19" borderId="46" xfId="0" applyFont="1" applyFill="1" applyBorder="1" applyAlignment="1">
      <alignment horizontal="center" vertical="top" wrapText="1"/>
    </xf>
    <xf numFmtId="171" fontId="0" fillId="0" borderId="0" xfId="5" applyNumberFormat="1" applyFont="1" applyFill="1" applyBorder="1" applyAlignment="1" applyProtection="1"/>
    <xf numFmtId="3" fontId="47" fillId="0" borderId="0" xfId="0" applyNumberFormat="1" applyFont="1"/>
    <xf numFmtId="167" fontId="0" fillId="0" borderId="0" xfId="5" applyNumberFormat="1" applyFont="1" applyFill="1" applyBorder="1" applyAlignment="1" applyProtection="1"/>
    <xf numFmtId="0" fontId="62" fillId="19" borderId="46" xfId="0" applyFont="1" applyFill="1" applyBorder="1" applyAlignment="1">
      <alignment horizontal="center" vertical="top" wrapText="1"/>
    </xf>
    <xf numFmtId="0" fontId="44" fillId="0" borderId="49" xfId="0" applyFont="1" applyBorder="1" applyAlignment="1">
      <alignment vertical="top" wrapText="1"/>
    </xf>
    <xf numFmtId="0" fontId="62" fillId="19" borderId="50" xfId="0" applyFont="1" applyFill="1" applyBorder="1" applyAlignment="1">
      <alignment horizontal="center" vertical="top" wrapText="1"/>
    </xf>
    <xf numFmtId="10" fontId="0" fillId="0" borderId="0" xfId="2" applyNumberFormat="1" applyFont="1" applyFill="1" applyBorder="1" applyAlignment="1" applyProtection="1"/>
    <xf numFmtId="167" fontId="43" fillId="0" borderId="0" xfId="5" applyNumberFormat="1" applyFont="1" applyFill="1" applyBorder="1" applyAlignment="1" applyProtection="1"/>
    <xf numFmtId="4" fontId="63" fillId="0" borderId="0" xfId="0" applyNumberFormat="1" applyFont="1"/>
    <xf numFmtId="4" fontId="0" fillId="0" borderId="0" xfId="0" applyNumberFormat="1"/>
    <xf numFmtId="176" fontId="0" fillId="0" borderId="0" xfId="5" applyNumberFormat="1" applyFont="1" applyFill="1" applyBorder="1" applyAlignment="1" applyProtection="1"/>
    <xf numFmtId="3" fontId="64" fillId="0" borderId="0" xfId="0" applyNumberFormat="1" applyFont="1"/>
    <xf numFmtId="4" fontId="65" fillId="0" borderId="0" xfId="0" applyNumberFormat="1" applyFont="1"/>
    <xf numFmtId="3" fontId="66" fillId="0" borderId="0" xfId="0" applyNumberFormat="1" applyFont="1"/>
    <xf numFmtId="0" fontId="67" fillId="0" borderId="38" xfId="0" applyFont="1" applyBorder="1" applyAlignment="1">
      <alignment horizontal="center" wrapText="1"/>
    </xf>
    <xf numFmtId="0" fontId="67" fillId="0" borderId="39" xfId="0" applyFont="1" applyBorder="1" applyAlignment="1">
      <alignment horizontal="center" wrapText="1"/>
    </xf>
    <xf numFmtId="166" fontId="68" fillId="0" borderId="38" xfId="5" applyFont="1" applyFill="1" applyBorder="1" applyAlignment="1" applyProtection="1">
      <alignment horizontal="center" wrapText="1"/>
    </xf>
    <xf numFmtId="166" fontId="68" fillId="0" borderId="39" xfId="5" applyFont="1" applyFill="1" applyBorder="1" applyAlignment="1" applyProtection="1">
      <alignment horizontal="center" wrapText="1"/>
    </xf>
    <xf numFmtId="0" fontId="43" fillId="4" borderId="5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0" fontId="43" fillId="4" borderId="1" xfId="5" applyNumberFormat="1" applyFont="1" applyFill="1" applyBorder="1" applyAlignment="1" applyProtection="1">
      <alignment horizontal="center" vertical="center"/>
    </xf>
    <xf numFmtId="0" fontId="43" fillId="4" borderId="1" xfId="0" applyFont="1" applyFill="1" applyBorder="1" applyAlignment="1">
      <alignment horizontal="center" vertical="center" wrapText="1"/>
    </xf>
    <xf numFmtId="9" fontId="0" fillId="4" borderId="51" xfId="0" applyNumberFormat="1" applyFill="1" applyBorder="1"/>
    <xf numFmtId="9" fontId="0" fillId="4" borderId="1" xfId="0" applyNumberFormat="1" applyFill="1" applyBorder="1"/>
    <xf numFmtId="0" fontId="0" fillId="0" borderId="1" xfId="0" applyBorder="1"/>
    <xf numFmtId="173" fontId="69" fillId="0" borderId="1" xfId="5" applyNumberFormat="1" applyFont="1" applyFill="1" applyBorder="1" applyAlignment="1" applyProtection="1"/>
    <xf numFmtId="173" fontId="0" fillId="0" borderId="1" xfId="5" applyNumberFormat="1" applyFont="1" applyFill="1" applyBorder="1" applyAlignment="1" applyProtection="1"/>
    <xf numFmtId="173" fontId="69" fillId="4" borderId="1" xfId="5" applyNumberFormat="1" applyFont="1" applyFill="1" applyBorder="1" applyAlignment="1" applyProtection="1"/>
    <xf numFmtId="2" fontId="0" fillId="0" borderId="1" xfId="0" applyNumberFormat="1" applyBorder="1"/>
    <xf numFmtId="169" fontId="0" fillId="0" borderId="1" xfId="0" applyNumberFormat="1" applyBorder="1"/>
    <xf numFmtId="173" fontId="59" fillId="0" borderId="1" xfId="5" applyNumberFormat="1" applyFont="1" applyFill="1" applyBorder="1" applyAlignment="1" applyProtection="1"/>
    <xf numFmtId="170" fontId="0" fillId="0" borderId="1" xfId="0" applyNumberFormat="1" applyBorder="1"/>
    <xf numFmtId="173" fontId="70" fillId="0" borderId="1" xfId="5" applyNumberFormat="1" applyFont="1" applyFill="1" applyBorder="1" applyAlignment="1" applyProtection="1"/>
    <xf numFmtId="173" fontId="71" fillId="0" borderId="1" xfId="5" applyNumberFormat="1" applyFont="1" applyFill="1" applyBorder="1" applyAlignment="1" applyProtection="1"/>
    <xf numFmtId="173" fontId="69" fillId="20" borderId="1" xfId="5" applyNumberFormat="1" applyFont="1" applyFill="1" applyBorder="1" applyAlignment="1" applyProtection="1"/>
    <xf numFmtId="173" fontId="55" fillId="0" borderId="1" xfId="5" applyNumberFormat="1" applyFont="1" applyFill="1" applyBorder="1" applyAlignment="1" applyProtection="1"/>
    <xf numFmtId="177" fontId="55" fillId="0" borderId="1" xfId="0" applyNumberFormat="1" applyFont="1" applyBorder="1"/>
    <xf numFmtId="175" fontId="0" fillId="0" borderId="1" xfId="0" applyNumberFormat="1" applyBorder="1"/>
    <xf numFmtId="175" fontId="0" fillId="0" borderId="0" xfId="0" applyNumberFormat="1"/>
    <xf numFmtId="3" fontId="72" fillId="0" borderId="0" xfId="0" applyNumberFormat="1" applyFont="1"/>
    <xf numFmtId="172" fontId="0" fillId="0" borderId="0" xfId="5" applyNumberFormat="1" applyFont="1" applyFill="1" applyBorder="1" applyAlignment="1" applyProtection="1"/>
    <xf numFmtId="0" fontId="33" fillId="0" borderId="0" xfId="4"/>
    <xf numFmtId="10" fontId="73" fillId="0" borderId="30" xfId="2" applyNumberFormat="1" applyFont="1" applyFill="1" applyBorder="1" applyAlignment="1" applyProtection="1"/>
    <xf numFmtId="10" fontId="73" fillId="0" borderId="3" xfId="2" applyNumberFormat="1" applyFont="1" applyFill="1" applyBorder="1" applyAlignment="1" applyProtection="1"/>
    <xf numFmtId="10" fontId="0" fillId="0" borderId="0" xfId="0" applyNumberFormat="1"/>
    <xf numFmtId="10" fontId="73" fillId="0" borderId="30" xfId="0" applyNumberFormat="1" applyFont="1" applyBorder="1"/>
    <xf numFmtId="10" fontId="73" fillId="0" borderId="3" xfId="0" applyNumberFormat="1" applyFont="1" applyBorder="1"/>
    <xf numFmtId="0" fontId="74" fillId="0" borderId="0" xfId="0" applyFont="1" applyAlignment="1">
      <alignment horizontal="center" wrapText="1"/>
    </xf>
    <xf numFmtId="10" fontId="73" fillId="0" borderId="18" xfId="0" applyNumberFormat="1" applyFont="1" applyBorder="1"/>
    <xf numFmtId="10" fontId="73" fillId="0" borderId="19" xfId="0" applyNumberFormat="1" applyFont="1" applyBorder="1"/>
    <xf numFmtId="0" fontId="75" fillId="0" borderId="0" xfId="7" applyNumberFormat="1" applyFill="1" applyBorder="1" applyAlignment="1" applyProtection="1"/>
    <xf numFmtId="166" fontId="0" fillId="22" borderId="9" xfId="5" applyFont="1" applyFill="1" applyBorder="1" applyAlignment="1" applyProtection="1"/>
    <xf numFmtId="170" fontId="0" fillId="22" borderId="9" xfId="5" applyNumberFormat="1" applyFont="1" applyFill="1" applyBorder="1" applyAlignment="1" applyProtection="1"/>
    <xf numFmtId="0" fontId="0" fillId="0" borderId="1" xfId="2" applyNumberFormat="1" applyFont="1" applyFill="1" applyBorder="1" applyAlignment="1" applyProtection="1"/>
    <xf numFmtId="43" fontId="45" fillId="6" borderId="9" xfId="1" applyFont="1" applyFill="1" applyBorder="1" applyAlignment="1" applyProtection="1"/>
    <xf numFmtId="0" fontId="51" fillId="0" borderId="0" xfId="0" applyFont="1" applyAlignment="1">
      <alignment horizontal="left" indent="2"/>
    </xf>
    <xf numFmtId="0" fontId="43" fillId="0" borderId="1" xfId="0" applyFont="1" applyBorder="1" applyAlignment="1">
      <alignment horizontal="center" wrapText="1"/>
    </xf>
    <xf numFmtId="0" fontId="43" fillId="3" borderId="1" xfId="0" applyFont="1" applyFill="1" applyBorder="1" applyAlignment="1">
      <alignment horizontal="center"/>
    </xf>
    <xf numFmtId="0" fontId="43" fillId="19" borderId="1" xfId="0" applyFont="1" applyFill="1" applyBorder="1" applyAlignment="1">
      <alignment horizontal="center"/>
    </xf>
    <xf numFmtId="167" fontId="0" fillId="0" borderId="1" xfId="5" applyNumberFormat="1" applyFont="1" applyFill="1" applyBorder="1" applyAlignment="1" applyProtection="1"/>
    <xf numFmtId="167" fontId="0" fillId="0" borderId="1" xfId="0" applyNumberFormat="1" applyBorder="1"/>
    <xf numFmtId="0" fontId="43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10" fontId="39" fillId="0" borderId="1" xfId="2" applyNumberFormat="1" applyFont="1" applyFill="1" applyBorder="1" applyAlignment="1" applyProtection="1"/>
    <xf numFmtId="167" fontId="39" fillId="0" borderId="1" xfId="0" applyNumberFormat="1" applyFont="1" applyBorder="1"/>
    <xf numFmtId="166" fontId="39" fillId="0" borderId="1" xfId="5" applyFont="1" applyFill="1" applyBorder="1" applyAlignment="1" applyProtection="1"/>
    <xf numFmtId="10" fontId="0" fillId="0" borderId="1" xfId="2" applyNumberFormat="1" applyFont="1" applyFill="1" applyBorder="1" applyAlignment="1" applyProtection="1"/>
    <xf numFmtId="0" fontId="80" fillId="0" borderId="0" xfId="0" applyFont="1" applyAlignment="1">
      <alignment wrapText="1"/>
    </xf>
    <xf numFmtId="167" fontId="39" fillId="0" borderId="0" xfId="5" applyNumberFormat="1" applyFont="1" applyFill="1" applyBorder="1" applyAlignment="1" applyProtection="1"/>
    <xf numFmtId="0" fontId="0" fillId="0" borderId="0" xfId="2" applyNumberFormat="1" applyFont="1" applyFill="1" applyBorder="1" applyAlignment="1" applyProtection="1"/>
    <xf numFmtId="0" fontId="44" fillId="4" borderId="0" xfId="0" applyFont="1" applyFill="1" applyAlignment="1">
      <alignment wrapText="1"/>
    </xf>
    <xf numFmtId="166" fontId="0" fillId="4" borderId="0" xfId="5" applyFont="1" applyFill="1" applyBorder="1" applyAlignment="1" applyProtection="1"/>
    <xf numFmtId="3" fontId="81" fillId="0" borderId="0" xfId="0" applyNumberFormat="1" applyFont="1"/>
    <xf numFmtId="0" fontId="43" fillId="0" borderId="0" xfId="0" applyFont="1" applyAlignment="1">
      <alignment wrapText="1"/>
    </xf>
    <xf numFmtId="166" fontId="74" fillId="0" borderId="0" xfId="5" applyFont="1" applyFill="1" applyBorder="1" applyAlignment="1" applyProtection="1"/>
    <xf numFmtId="4" fontId="74" fillId="0" borderId="0" xfId="0" applyNumberFormat="1" applyFont="1"/>
    <xf numFmtId="0" fontId="37" fillId="23" borderId="0" xfId="0" applyFont="1" applyFill="1"/>
    <xf numFmtId="0" fontId="38" fillId="23" borderId="0" xfId="2" applyNumberFormat="1" applyFont="1" applyFill="1" applyBorder="1" applyAlignment="1" applyProtection="1"/>
    <xf numFmtId="0" fontId="44" fillId="0" borderId="0" xfId="0" applyFont="1"/>
    <xf numFmtId="0" fontId="44" fillId="0" borderId="0" xfId="0" applyFont="1" applyAlignment="1">
      <alignment horizontal="center"/>
    </xf>
    <xf numFmtId="0" fontId="82" fillId="0" borderId="53" xfId="0" applyFont="1" applyBorder="1" applyAlignment="1">
      <alignment horizontal="center" vertical="center" wrapText="1"/>
    </xf>
    <xf numFmtId="0" fontId="82" fillId="0" borderId="54" xfId="0" applyFont="1" applyBorder="1" applyAlignment="1">
      <alignment horizontal="center" vertical="center" wrapText="1"/>
    </xf>
    <xf numFmtId="0" fontId="82" fillId="0" borderId="55" xfId="0" applyFont="1" applyBorder="1" applyAlignment="1">
      <alignment horizontal="center" vertical="center" wrapText="1"/>
    </xf>
    <xf numFmtId="0" fontId="82" fillId="0" borderId="56" xfId="0" applyFont="1" applyBorder="1" applyAlignment="1">
      <alignment horizontal="center" vertical="center" wrapText="1"/>
    </xf>
    <xf numFmtId="178" fontId="0" fillId="0" borderId="0" xfId="2" applyNumberFormat="1" applyFont="1" applyFill="1" applyBorder="1" applyAlignment="1" applyProtection="1"/>
    <xf numFmtId="0" fontId="83" fillId="0" borderId="0" xfId="0" applyFont="1" applyAlignment="1">
      <alignment wrapText="1"/>
    </xf>
    <xf numFmtId="4" fontId="81" fillId="0" borderId="0" xfId="0" applyNumberFormat="1" applyFont="1"/>
    <xf numFmtId="0" fontId="43" fillId="0" borderId="4" xfId="0" applyFont="1" applyBorder="1" applyAlignment="1">
      <alignment wrapText="1"/>
    </xf>
    <xf numFmtId="166" fontId="33" fillId="0" borderId="4" xfId="5" applyBorder="1"/>
    <xf numFmtId="166" fontId="0" fillId="0" borderId="4" xfId="5" applyFont="1" applyFill="1" applyBorder="1" applyAlignment="1" applyProtection="1"/>
    <xf numFmtId="167" fontId="0" fillId="0" borderId="4" xfId="5" applyNumberFormat="1" applyFont="1" applyFill="1" applyBorder="1" applyAlignment="1" applyProtection="1"/>
    <xf numFmtId="166" fontId="0" fillId="0" borderId="4" xfId="0" applyNumberFormat="1" applyBorder="1"/>
    <xf numFmtId="167" fontId="0" fillId="0" borderId="4" xfId="0" applyNumberFormat="1" applyBorder="1"/>
    <xf numFmtId="166" fontId="32" fillId="0" borderId="4" xfId="0" applyNumberFormat="1" applyFont="1" applyBorder="1"/>
    <xf numFmtId="167" fontId="0" fillId="0" borderId="0" xfId="0" applyNumberFormat="1" applyAlignment="1">
      <alignment wrapText="1"/>
    </xf>
    <xf numFmtId="167" fontId="32" fillId="0" borderId="4" xfId="0" applyNumberFormat="1" applyFont="1" applyBorder="1"/>
    <xf numFmtId="166" fontId="0" fillId="0" borderId="47" xfId="5" applyFont="1" applyFill="1" applyBorder="1" applyAlignment="1" applyProtection="1"/>
    <xf numFmtId="0" fontId="43" fillId="0" borderId="58" xfId="0" applyFont="1" applyBorder="1" applyAlignment="1">
      <alignment horizontal="center" wrapText="1"/>
    </xf>
    <xf numFmtId="0" fontId="43" fillId="0" borderId="4" xfId="0" applyFont="1" applyBorder="1" applyAlignment="1">
      <alignment horizontal="center" wrapText="1"/>
    </xf>
    <xf numFmtId="166" fontId="0" fillId="4" borderId="58" xfId="5" applyFont="1" applyFill="1" applyBorder="1" applyAlignment="1" applyProtection="1"/>
    <xf numFmtId="166" fontId="0" fillId="0" borderId="58" xfId="5" applyFont="1" applyFill="1" applyBorder="1" applyAlignment="1" applyProtection="1"/>
    <xf numFmtId="166" fontId="84" fillId="0" borderId="0" xfId="5" applyFont="1" applyFill="1" applyBorder="1" applyAlignment="1" applyProtection="1"/>
    <xf numFmtId="10" fontId="30" fillId="0" borderId="0" xfId="2" applyNumberFormat="1" applyFill="1" applyBorder="1" applyAlignment="1">
      <alignment horizontal="center" vertical="center" wrapText="1"/>
    </xf>
    <xf numFmtId="165" fontId="0" fillId="0" borderId="0" xfId="0" applyNumberFormat="1"/>
    <xf numFmtId="0" fontId="0" fillId="23" borderId="52" xfId="0" applyFill="1" applyBorder="1" applyAlignment="1">
      <alignment horizontal="center"/>
    </xf>
    <xf numFmtId="0" fontId="32" fillId="23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3" borderId="47" xfId="0" applyFill="1" applyBorder="1" applyAlignment="1">
      <alignment horizontal="center"/>
    </xf>
    <xf numFmtId="0" fontId="0" fillId="23" borderId="1" xfId="0" applyFill="1" applyBorder="1"/>
    <xf numFmtId="166" fontId="43" fillId="0" borderId="0" xfId="0" applyNumberFormat="1" applyFont="1"/>
    <xf numFmtId="9" fontId="39" fillId="0" borderId="0" xfId="2" applyFont="1" applyFill="1" applyBorder="1" applyAlignment="1" applyProtection="1"/>
    <xf numFmtId="0" fontId="39" fillId="23" borderId="1" xfId="0" applyFont="1" applyFill="1" applyBorder="1"/>
    <xf numFmtId="167" fontId="39" fillId="0" borderId="1" xfId="5" applyNumberFormat="1" applyFont="1" applyFill="1" applyBorder="1" applyAlignment="1" applyProtection="1"/>
    <xf numFmtId="167" fontId="0" fillId="4" borderId="1" xfId="5" applyNumberFormat="1" applyFont="1" applyFill="1" applyBorder="1" applyAlignment="1" applyProtection="1"/>
    <xf numFmtId="167" fontId="39" fillId="23" borderId="1" xfId="0" applyNumberFormat="1" applyFont="1" applyFill="1" applyBorder="1"/>
    <xf numFmtId="167" fontId="39" fillId="0" borderId="0" xfId="0" applyNumberFormat="1" applyFont="1"/>
    <xf numFmtId="166" fontId="39" fillId="23" borderId="1" xfId="5" applyFont="1" applyFill="1" applyBorder="1" applyAlignment="1" applyProtection="1"/>
    <xf numFmtId="178" fontId="33" fillId="7" borderId="1" xfId="2" applyNumberFormat="1" applyFont="1" applyFill="1" applyBorder="1" applyAlignment="1" applyProtection="1"/>
    <xf numFmtId="10" fontId="0" fillId="23" borderId="1" xfId="2" applyNumberFormat="1" applyFont="1" applyFill="1" applyBorder="1" applyAlignment="1" applyProtection="1"/>
    <xf numFmtId="0" fontId="43" fillId="4" borderId="1" xfId="0" applyFont="1" applyFill="1" applyBorder="1" applyAlignment="1">
      <alignment wrapText="1"/>
    </xf>
    <xf numFmtId="166" fontId="0" fillId="23" borderId="1" xfId="5" applyFont="1" applyFill="1" applyBorder="1" applyAlignment="1" applyProtection="1"/>
    <xf numFmtId="3" fontId="86" fillId="0" borderId="0" xfId="0" applyNumberFormat="1" applyFont="1"/>
    <xf numFmtId="10" fontId="0" fillId="4" borderId="1" xfId="2" applyNumberFormat="1" applyFont="1" applyFill="1" applyBorder="1" applyAlignment="1" applyProtection="1"/>
    <xf numFmtId="0" fontId="87" fillId="0" borderId="1" xfId="0" applyFont="1" applyBorder="1" applyAlignment="1">
      <alignment wrapText="1"/>
    </xf>
    <xf numFmtId="0" fontId="0" fillId="4" borderId="1" xfId="0" applyFill="1" applyBorder="1"/>
    <xf numFmtId="178" fontId="0" fillId="4" borderId="1" xfId="2" applyNumberFormat="1" applyFont="1" applyFill="1" applyBorder="1" applyAlignment="1" applyProtection="1"/>
    <xf numFmtId="168" fontId="0" fillId="4" borderId="1" xfId="2" applyNumberFormat="1" applyFont="1" applyFill="1" applyBorder="1" applyAlignment="1" applyProtection="1"/>
    <xf numFmtId="9" fontId="0" fillId="23" borderId="1" xfId="2" applyFont="1" applyFill="1" applyBorder="1" applyAlignment="1" applyProtection="1"/>
    <xf numFmtId="0" fontId="61" fillId="23" borderId="1" xfId="0" applyFont="1" applyFill="1" applyBorder="1" applyAlignment="1">
      <alignment wrapText="1"/>
    </xf>
    <xf numFmtId="0" fontId="37" fillId="23" borderId="1" xfId="0" applyFont="1" applyFill="1" applyBorder="1"/>
    <xf numFmtId="178" fontId="37" fillId="23" borderId="1" xfId="2" applyNumberFormat="1" applyFont="1" applyFill="1" applyBorder="1" applyAlignment="1" applyProtection="1"/>
    <xf numFmtId="10" fontId="37" fillId="23" borderId="1" xfId="2" applyNumberFormat="1" applyFont="1" applyFill="1" applyBorder="1" applyAlignment="1" applyProtection="1"/>
    <xf numFmtId="168" fontId="0" fillId="0" borderId="1" xfId="2" applyNumberFormat="1" applyFont="1" applyFill="1" applyBorder="1" applyAlignment="1" applyProtection="1"/>
    <xf numFmtId="180" fontId="0" fillId="0" borderId="0" xfId="2" applyNumberFormat="1" applyFont="1" applyFill="1" applyBorder="1" applyAlignment="1" applyProtection="1"/>
    <xf numFmtId="166" fontId="43" fillId="0" borderId="0" xfId="5" applyFont="1" applyFill="1" applyBorder="1" applyAlignment="1" applyProtection="1">
      <alignment wrapText="1"/>
    </xf>
    <xf numFmtId="4" fontId="88" fillId="0" borderId="0" xfId="0" applyNumberFormat="1" applyFont="1"/>
    <xf numFmtId="166" fontId="89" fillId="0" borderId="0" xfId="0" applyNumberFormat="1" applyFont="1"/>
    <xf numFmtId="166" fontId="43" fillId="0" borderId="0" xfId="0" applyNumberFormat="1" applyFont="1" applyAlignment="1">
      <alignment wrapText="1"/>
    </xf>
    <xf numFmtId="168" fontId="43" fillId="0" borderId="0" xfId="2" applyNumberFormat="1" applyFont="1" applyFill="1" applyBorder="1" applyAlignment="1" applyProtection="1">
      <alignment wrapText="1"/>
    </xf>
    <xf numFmtId="181" fontId="0" fillId="0" borderId="0" xfId="0" applyNumberFormat="1"/>
    <xf numFmtId="9" fontId="43" fillId="0" borderId="0" xfId="2" applyFont="1" applyFill="1" applyBorder="1" applyAlignment="1" applyProtection="1">
      <alignment wrapText="1"/>
    </xf>
    <xf numFmtId="168" fontId="43" fillId="0" borderId="0" xfId="0" applyNumberFormat="1" applyFont="1" applyAlignment="1">
      <alignment wrapText="1"/>
    </xf>
    <xf numFmtId="4" fontId="90" fillId="0" borderId="0" xfId="0" applyNumberFormat="1" applyFont="1"/>
    <xf numFmtId="182" fontId="0" fillId="0" borderId="0" xfId="0" applyNumberFormat="1"/>
    <xf numFmtId="183" fontId="0" fillId="0" borderId="0" xfId="0" applyNumberFormat="1"/>
    <xf numFmtId="178" fontId="43" fillId="0" borderId="0" xfId="2" applyNumberFormat="1" applyFont="1" applyFill="1" applyBorder="1" applyAlignment="1" applyProtection="1">
      <alignment wrapText="1"/>
    </xf>
    <xf numFmtId="172" fontId="0" fillId="0" borderId="0" xfId="0" applyNumberFormat="1"/>
    <xf numFmtId="175" fontId="43" fillId="0" borderId="0" xfId="0" applyNumberFormat="1" applyFont="1" applyAlignment="1">
      <alignment wrapText="1"/>
    </xf>
    <xf numFmtId="10" fontId="43" fillId="0" borderId="0" xfId="0" applyNumberFormat="1" applyFont="1" applyAlignment="1">
      <alignment wrapText="1"/>
    </xf>
    <xf numFmtId="4" fontId="91" fillId="0" borderId="0" xfId="0" applyNumberFormat="1" applyFont="1"/>
    <xf numFmtId="3" fontId="54" fillId="0" borderId="0" xfId="0" applyNumberFormat="1" applyFont="1"/>
    <xf numFmtId="0" fontId="54" fillId="0" borderId="38" xfId="0" applyFont="1" applyBorder="1" applyAlignment="1">
      <alignment horizontal="justify" vertical="top" wrapText="1"/>
    </xf>
    <xf numFmtId="0" fontId="54" fillId="0" borderId="59" xfId="0" applyFont="1" applyBorder="1" applyAlignment="1">
      <alignment horizontal="justify" vertical="top" wrapText="1"/>
    </xf>
    <xf numFmtId="0" fontId="54" fillId="0" borderId="59" xfId="0" applyFont="1" applyBorder="1" applyAlignment="1">
      <alignment horizontal="center" vertical="top" wrapText="1"/>
    </xf>
    <xf numFmtId="0" fontId="92" fillId="0" borderId="39" xfId="0" applyFont="1" applyBorder="1" applyAlignment="1">
      <alignment horizontal="justify" vertical="top" wrapText="1"/>
    </xf>
    <xf numFmtId="3" fontId="54" fillId="0" borderId="36" xfId="0" applyNumberFormat="1" applyFont="1" applyBorder="1" applyAlignment="1">
      <alignment horizontal="right" vertical="top" wrapText="1"/>
    </xf>
    <xf numFmtId="4" fontId="54" fillId="0" borderId="36" xfId="0" applyNumberFormat="1" applyFont="1" applyBorder="1" applyAlignment="1">
      <alignment horizontal="right" vertical="top" wrapText="1"/>
    </xf>
    <xf numFmtId="0" fontId="93" fillId="0" borderId="60" xfId="0" applyFont="1" applyBorder="1" applyAlignment="1">
      <alignment horizontal="justify" vertical="top" wrapText="1"/>
    </xf>
    <xf numFmtId="0" fontId="93" fillId="0" borderId="61" xfId="0" applyFont="1" applyBorder="1" applyAlignment="1">
      <alignment horizontal="justify" vertical="top" wrapText="1"/>
    </xf>
    <xf numFmtId="0" fontId="93" fillId="0" borderId="61" xfId="0" applyFont="1" applyBorder="1" applyAlignment="1">
      <alignment horizontal="center" vertical="top" wrapText="1"/>
    </xf>
    <xf numFmtId="0" fontId="93" fillId="0" borderId="62" xfId="0" applyFont="1" applyBorder="1" applyAlignment="1">
      <alignment horizontal="center" vertical="top" wrapText="1"/>
    </xf>
    <xf numFmtId="0" fontId="93" fillId="0" borderId="63" xfId="0" applyFont="1" applyBorder="1" applyAlignment="1">
      <alignment horizontal="justify" vertical="top" wrapText="1"/>
    </xf>
    <xf numFmtId="3" fontId="93" fillId="0" borderId="1" xfId="0" applyNumberFormat="1" applyFont="1" applyBorder="1" applyAlignment="1">
      <alignment horizontal="right" vertical="top" wrapText="1"/>
    </xf>
    <xf numFmtId="3" fontId="93" fillId="0" borderId="64" xfId="0" applyNumberFormat="1" applyFont="1" applyBorder="1" applyAlignment="1">
      <alignment horizontal="right" vertical="top" wrapText="1"/>
    </xf>
    <xf numFmtId="0" fontId="93" fillId="0" borderId="65" xfId="0" applyFont="1" applyBorder="1" applyAlignment="1">
      <alignment horizontal="justify" vertical="top" wrapText="1"/>
    </xf>
    <xf numFmtId="4" fontId="93" fillId="0" borderId="66" xfId="0" applyNumberFormat="1" applyFont="1" applyBorder="1" applyAlignment="1">
      <alignment horizontal="right" vertical="top" wrapText="1"/>
    </xf>
    <xf numFmtId="4" fontId="93" fillId="0" borderId="67" xfId="0" applyNumberFormat="1" applyFont="1" applyBorder="1" applyAlignment="1">
      <alignment horizontal="right" vertical="top" wrapText="1"/>
    </xf>
    <xf numFmtId="0" fontId="47" fillId="17" borderId="43" xfId="0" applyFont="1" applyFill="1" applyBorder="1" applyAlignment="1">
      <alignment horizontal="justify" vertical="top" wrapText="1"/>
    </xf>
    <xf numFmtId="0" fontId="47" fillId="17" borderId="44" xfId="0" applyFont="1" applyFill="1" applyBorder="1" applyAlignment="1">
      <alignment horizontal="center" vertical="top" wrapText="1"/>
    </xf>
    <xf numFmtId="0" fontId="47" fillId="19" borderId="68" xfId="0" applyFont="1" applyFill="1" applyBorder="1" applyAlignment="1">
      <alignment horizontal="justify" vertical="top" wrapText="1"/>
    </xf>
    <xf numFmtId="4" fontId="54" fillId="19" borderId="69" xfId="0" applyNumberFormat="1" applyFont="1" applyFill="1" applyBorder="1" applyAlignment="1">
      <alignment horizontal="right" vertical="top" wrapText="1"/>
    </xf>
    <xf numFmtId="0" fontId="47" fillId="17" borderId="68" xfId="0" applyFont="1" applyFill="1" applyBorder="1" applyAlignment="1">
      <alignment horizontal="justify" vertical="top" wrapText="1"/>
    </xf>
    <xf numFmtId="3" fontId="54" fillId="17" borderId="69" xfId="0" applyNumberFormat="1" applyFont="1" applyFill="1" applyBorder="1" applyAlignment="1">
      <alignment horizontal="right" vertical="top" wrapText="1"/>
    </xf>
    <xf numFmtId="4" fontId="54" fillId="17" borderId="69" xfId="0" applyNumberFormat="1" applyFont="1" applyFill="1" applyBorder="1" applyAlignment="1">
      <alignment horizontal="right" vertical="top" wrapText="1"/>
    </xf>
    <xf numFmtId="3" fontId="54" fillId="19" borderId="69" xfId="0" applyNumberFormat="1" applyFont="1" applyFill="1" applyBorder="1" applyAlignment="1">
      <alignment horizontal="right" vertical="top" wrapText="1"/>
    </xf>
    <xf numFmtId="4" fontId="47" fillId="19" borderId="69" xfId="0" applyNumberFormat="1" applyFont="1" applyFill="1" applyBorder="1" applyAlignment="1">
      <alignment horizontal="right" vertical="top" wrapText="1"/>
    </xf>
    <xf numFmtId="4" fontId="66" fillId="19" borderId="69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wrapText="1"/>
    </xf>
    <xf numFmtId="43" fontId="0" fillId="24" borderId="0" xfId="1" applyFont="1" applyFill="1"/>
    <xf numFmtId="0" fontId="36" fillId="0" borderId="70" xfId="0" applyFont="1" applyBorder="1" applyAlignment="1">
      <alignment vertical="center" wrapText="1"/>
    </xf>
    <xf numFmtId="0" fontId="36" fillId="0" borderId="71" xfId="0" applyFont="1" applyBorder="1" applyAlignment="1">
      <alignment vertical="center" wrapText="1"/>
    </xf>
    <xf numFmtId="0" fontId="36" fillId="0" borderId="71" xfId="0" applyFont="1" applyBorder="1" applyAlignment="1">
      <alignment horizontal="center" vertical="center" wrapText="1"/>
    </xf>
    <xf numFmtId="0" fontId="97" fillId="25" borderId="72" xfId="0" applyFont="1" applyFill="1" applyBorder="1" applyAlignment="1">
      <alignment vertical="center" wrapText="1"/>
    </xf>
    <xf numFmtId="0" fontId="98" fillId="25" borderId="73" xfId="0" applyFont="1" applyFill="1" applyBorder="1" applyAlignment="1">
      <alignment vertical="center" wrapText="1"/>
    </xf>
    <xf numFmtId="166" fontId="33" fillId="25" borderId="73" xfId="5" applyFill="1" applyBorder="1" applyAlignment="1">
      <alignment horizontal="center" vertical="center"/>
    </xf>
    <xf numFmtId="0" fontId="0" fillId="6" borderId="0" xfId="0" applyFill="1"/>
    <xf numFmtId="0" fontId="36" fillId="0" borderId="72" xfId="0" applyFont="1" applyBorder="1" applyAlignment="1">
      <alignment vertical="center" wrapText="1"/>
    </xf>
    <xf numFmtId="0" fontId="45" fillId="0" borderId="73" xfId="0" applyFont="1" applyBorder="1" applyAlignment="1">
      <alignment vertical="center" wrapText="1"/>
    </xf>
    <xf numFmtId="166" fontId="33" fillId="0" borderId="73" xfId="5" applyBorder="1" applyAlignment="1">
      <alignment horizontal="center" vertical="center"/>
    </xf>
    <xf numFmtId="0" fontId="45" fillId="25" borderId="73" xfId="0" applyFont="1" applyFill="1" applyBorder="1" applyAlignment="1">
      <alignment vertical="center" wrapText="1"/>
    </xf>
    <xf numFmtId="0" fontId="36" fillId="0" borderId="74" xfId="0" applyFont="1" applyBorder="1" applyAlignment="1">
      <alignment vertical="center"/>
    </xf>
    <xf numFmtId="0" fontId="36" fillId="0" borderId="72" xfId="0" applyFont="1" applyBorder="1" applyAlignment="1">
      <alignment vertical="center"/>
    </xf>
    <xf numFmtId="0" fontId="45" fillId="0" borderId="73" xfId="0" applyFont="1" applyBorder="1" applyAlignment="1">
      <alignment vertical="center"/>
    </xf>
    <xf numFmtId="0" fontId="99" fillId="4" borderId="9" xfId="0" applyFont="1" applyFill="1" applyBorder="1"/>
    <xf numFmtId="0" fontId="100" fillId="11" borderId="79" xfId="0" applyFont="1" applyFill="1" applyBorder="1" applyAlignment="1">
      <alignment vertical="center" wrapText="1"/>
    </xf>
    <xf numFmtId="0" fontId="101" fillId="11" borderId="80" xfId="0" applyFont="1" applyFill="1" applyBorder="1" applyAlignment="1">
      <alignment horizontal="center" vertical="center" wrapText="1"/>
    </xf>
    <xf numFmtId="0" fontId="102" fillId="0" borderId="81" xfId="0" applyFont="1" applyBorder="1" applyAlignment="1">
      <alignment vertical="center" wrapText="1"/>
    </xf>
    <xf numFmtId="3" fontId="102" fillId="0" borderId="56" xfId="0" applyNumberFormat="1" applyFont="1" applyBorder="1" applyAlignment="1">
      <alignment horizontal="center" vertical="center" wrapText="1"/>
    </xf>
    <xf numFmtId="0" fontId="102" fillId="0" borderId="56" xfId="0" applyFont="1" applyBorder="1" applyAlignment="1">
      <alignment horizontal="center" vertical="center" wrapText="1"/>
    </xf>
    <xf numFmtId="0" fontId="103" fillId="0" borderId="0" xfId="0" applyFont="1"/>
    <xf numFmtId="184" fontId="34" fillId="0" borderId="4" xfId="4" applyNumberFormat="1" applyFont="1" applyBorder="1" applyAlignment="1">
      <alignment horizontal="right"/>
    </xf>
    <xf numFmtId="184" fontId="34" fillId="0" borderId="4" xfId="4" applyNumberFormat="1" applyFont="1" applyBorder="1"/>
    <xf numFmtId="0" fontId="31" fillId="14" borderId="82" xfId="0" applyFont="1" applyFill="1" applyBorder="1"/>
    <xf numFmtId="0" fontId="31" fillId="14" borderId="84" xfId="0" applyFont="1" applyFill="1" applyBorder="1"/>
    <xf numFmtId="0" fontId="31" fillId="14" borderId="85" xfId="0" applyFont="1" applyFill="1" applyBorder="1"/>
    <xf numFmtId="10" fontId="73" fillId="0" borderId="57" xfId="2" applyNumberFormat="1" applyFont="1" applyFill="1" applyBorder="1" applyAlignment="1" applyProtection="1"/>
    <xf numFmtId="0" fontId="76" fillId="0" borderId="4" xfId="0" applyFont="1" applyBorder="1"/>
    <xf numFmtId="0" fontId="104" fillId="0" borderId="86" xfId="0" applyFont="1" applyBorder="1"/>
    <xf numFmtId="0" fontId="76" fillId="0" borderId="87" xfId="0" applyFont="1" applyBorder="1"/>
    <xf numFmtId="10" fontId="73" fillId="0" borderId="88" xfId="2" applyNumberFormat="1" applyFont="1" applyFill="1" applyBorder="1" applyAlignment="1" applyProtection="1"/>
    <xf numFmtId="10" fontId="73" fillId="0" borderId="89" xfId="2" applyNumberFormat="1" applyFont="1" applyFill="1" applyBorder="1" applyAlignment="1" applyProtection="1"/>
    <xf numFmtId="10" fontId="73" fillId="0" borderId="90" xfId="2" applyNumberFormat="1" applyFont="1" applyFill="1" applyBorder="1" applyAlignment="1" applyProtection="1"/>
    <xf numFmtId="0" fontId="76" fillId="0" borderId="91" xfId="0" applyFont="1" applyBorder="1"/>
    <xf numFmtId="10" fontId="73" fillId="0" borderId="92" xfId="2" applyNumberFormat="1" applyFont="1" applyFill="1" applyBorder="1" applyAlignment="1" applyProtection="1"/>
    <xf numFmtId="0" fontId="76" fillId="0" borderId="93" xfId="0" applyFont="1" applyBorder="1"/>
    <xf numFmtId="0" fontId="76" fillId="0" borderId="94" xfId="0" applyFont="1" applyBorder="1"/>
    <xf numFmtId="10" fontId="73" fillId="0" borderId="95" xfId="2" applyNumberFormat="1" applyFont="1" applyFill="1" applyBorder="1" applyAlignment="1" applyProtection="1"/>
    <xf numFmtId="10" fontId="73" fillId="0" borderId="96" xfId="2" applyNumberFormat="1" applyFont="1" applyFill="1" applyBorder="1" applyAlignment="1" applyProtection="1"/>
    <xf numFmtId="10" fontId="73" fillId="0" borderId="97" xfId="2" applyNumberFormat="1" applyFont="1" applyFill="1" applyBorder="1" applyAlignment="1" applyProtection="1"/>
    <xf numFmtId="0" fontId="78" fillId="21" borderId="98" xfId="0" applyFont="1" applyFill="1" applyBorder="1" applyAlignment="1">
      <alignment horizontal="center"/>
    </xf>
    <xf numFmtId="0" fontId="77" fillId="21" borderId="99" xfId="0" applyFont="1" applyFill="1" applyBorder="1" applyAlignment="1">
      <alignment horizontal="center" wrapText="1"/>
    </xf>
    <xf numFmtId="0" fontId="77" fillId="21" borderId="100" xfId="0" applyFont="1" applyFill="1" applyBorder="1" applyAlignment="1">
      <alignment horizontal="center" wrapText="1"/>
    </xf>
    <xf numFmtId="0" fontId="76" fillId="0" borderId="101" xfId="0" applyFont="1" applyBorder="1"/>
    <xf numFmtId="10" fontId="73" fillId="0" borderId="102" xfId="2" applyNumberFormat="1" applyFont="1" applyFill="1" applyBorder="1" applyAlignment="1" applyProtection="1"/>
    <xf numFmtId="0" fontId="76" fillId="0" borderId="103" xfId="0" applyFont="1" applyBorder="1"/>
    <xf numFmtId="0" fontId="76" fillId="0" borderId="104" xfId="0" applyFont="1" applyBorder="1"/>
    <xf numFmtId="10" fontId="73" fillId="0" borderId="105" xfId="2" applyNumberFormat="1" applyFont="1" applyFill="1" applyBorder="1" applyAlignment="1" applyProtection="1"/>
    <xf numFmtId="167" fontId="0" fillId="7" borderId="1" xfId="1" applyNumberFormat="1" applyFont="1" applyFill="1" applyBorder="1" applyAlignment="1" applyProtection="1"/>
    <xf numFmtId="185" fontId="0" fillId="0" borderId="4" xfId="1" applyNumberFormat="1" applyFont="1" applyBorder="1"/>
    <xf numFmtId="10" fontId="106" fillId="0" borderId="0" xfId="2" applyNumberFormat="1" applyFont="1" applyFill="1" applyBorder="1" applyAlignment="1" applyProtection="1">
      <alignment horizontal="left"/>
    </xf>
    <xf numFmtId="0" fontId="76" fillId="0" borderId="106" xfId="0" applyFont="1" applyBorder="1"/>
    <xf numFmtId="0" fontId="107" fillId="0" borderId="4" xfId="0" applyFont="1" applyBorder="1"/>
    <xf numFmtId="10" fontId="106" fillId="0" borderId="4" xfId="2" applyNumberFormat="1" applyFont="1" applyFill="1" applyBorder="1" applyAlignment="1" applyProtection="1">
      <alignment horizontal="right"/>
    </xf>
    <xf numFmtId="17" fontId="0" fillId="0" borderId="108" xfId="0" applyNumberFormat="1" applyBorder="1"/>
    <xf numFmtId="43" fontId="0" fillId="27" borderId="0" xfId="0" applyNumberFormat="1" applyFill="1"/>
    <xf numFmtId="43" fontId="0" fillId="0" borderId="1" xfId="1" applyFont="1" applyBorder="1"/>
    <xf numFmtId="43" fontId="0" fillId="0" borderId="0" xfId="2" applyNumberFormat="1" applyFont="1" applyFill="1" applyBorder="1" applyAlignment="1" applyProtection="1"/>
    <xf numFmtId="185" fontId="0" fillId="0" borderId="83" xfId="0" applyNumberFormat="1" applyBorder="1"/>
    <xf numFmtId="185" fontId="0" fillId="0" borderId="0" xfId="0" applyNumberFormat="1"/>
    <xf numFmtId="43" fontId="44" fillId="30" borderId="12" xfId="1" applyFont="1" applyFill="1" applyBorder="1" applyAlignment="1" applyProtection="1"/>
    <xf numFmtId="170" fontId="50" fillId="30" borderId="12" xfId="5" applyNumberFormat="1" applyFont="1" applyFill="1" applyBorder="1" applyAlignment="1" applyProtection="1"/>
    <xf numFmtId="167" fontId="32" fillId="29" borderId="1" xfId="1" applyNumberFormat="1" applyFont="1" applyFill="1" applyBorder="1" applyAlignment="1" applyProtection="1"/>
    <xf numFmtId="10" fontId="39" fillId="29" borderId="1" xfId="2" applyNumberFormat="1" applyFont="1" applyFill="1" applyBorder="1" applyAlignment="1" applyProtection="1"/>
    <xf numFmtId="167" fontId="39" fillId="29" borderId="1" xfId="0" applyNumberFormat="1" applyFont="1" applyFill="1" applyBorder="1"/>
    <xf numFmtId="166" fontId="39" fillId="29" borderId="1" xfId="5" applyFont="1" applyFill="1" applyBorder="1" applyAlignment="1" applyProtection="1"/>
    <xf numFmtId="0" fontId="0" fillId="29" borderId="1" xfId="2" applyNumberFormat="1" applyFont="1" applyFill="1" applyBorder="1" applyAlignment="1" applyProtection="1"/>
    <xf numFmtId="0" fontId="0" fillId="29" borderId="1" xfId="0" applyFill="1" applyBorder="1"/>
    <xf numFmtId="10" fontId="0" fillId="29" borderId="0" xfId="2" applyNumberFormat="1" applyFont="1" applyFill="1" applyBorder="1" applyAlignment="1" applyProtection="1"/>
    <xf numFmtId="0" fontId="0" fillId="29" borderId="0" xfId="0" applyFill="1"/>
    <xf numFmtId="43" fontId="0" fillId="29" borderId="1" xfId="0" applyNumberFormat="1" applyFill="1" applyBorder="1"/>
    <xf numFmtId="166" fontId="0" fillId="30" borderId="1" xfId="5" applyFont="1" applyFill="1" applyBorder="1" applyAlignment="1" applyProtection="1"/>
    <xf numFmtId="0" fontId="107" fillId="0" borderId="109" xfId="0" applyFont="1" applyBorder="1"/>
    <xf numFmtId="10" fontId="106" fillId="0" borderId="0" xfId="2" applyNumberFormat="1" applyFont="1" applyFill="1" applyBorder="1" applyAlignment="1" applyProtection="1">
      <alignment horizontal="right"/>
    </xf>
    <xf numFmtId="0" fontId="108" fillId="0" borderId="0" xfId="0" applyFont="1" applyAlignment="1">
      <alignment horizontal="center"/>
    </xf>
    <xf numFmtId="167" fontId="33" fillId="6" borderId="1" xfId="1" applyNumberFormat="1" applyFont="1" applyFill="1" applyBorder="1" applyAlignment="1" applyProtection="1"/>
    <xf numFmtId="3" fontId="33" fillId="6" borderId="0" xfId="0" applyNumberFormat="1" applyFont="1" applyFill="1"/>
    <xf numFmtId="0" fontId="76" fillId="0" borderId="110" xfId="0" applyFont="1" applyBorder="1"/>
    <xf numFmtId="10" fontId="73" fillId="0" borderId="4" xfId="2" applyNumberFormat="1" applyFont="1" applyFill="1" applyBorder="1" applyAlignment="1" applyProtection="1"/>
    <xf numFmtId="0" fontId="0" fillId="7" borderId="0" xfId="0" applyFill="1"/>
    <xf numFmtId="17" fontId="0" fillId="0" borderId="55" xfId="0" applyNumberFormat="1" applyBorder="1"/>
    <xf numFmtId="43" fontId="0" fillId="31" borderId="111" xfId="1" applyFont="1" applyFill="1" applyBorder="1"/>
    <xf numFmtId="43" fontId="30" fillId="0" borderId="0" xfId="1" applyFont="1"/>
    <xf numFmtId="185" fontId="0" fillId="0" borderId="82" xfId="0" applyNumberFormat="1" applyBorder="1"/>
    <xf numFmtId="185" fontId="0" fillId="0" borderId="76" xfId="0" applyNumberFormat="1" applyBorder="1"/>
    <xf numFmtId="167" fontId="32" fillId="0" borderId="4" xfId="1" applyNumberFormat="1" applyFont="1" applyFill="1" applyBorder="1" applyAlignment="1" applyProtection="1"/>
    <xf numFmtId="167" fontId="32" fillId="0" borderId="58" xfId="1" applyNumberFormat="1" applyFont="1" applyFill="1" applyBorder="1" applyAlignment="1" applyProtection="1"/>
    <xf numFmtId="167" fontId="0" fillId="0" borderId="58" xfId="1" applyNumberFormat="1" applyFont="1" applyFill="1" applyBorder="1" applyAlignment="1" applyProtection="1"/>
    <xf numFmtId="17" fontId="32" fillId="3" borderId="58" xfId="0" applyNumberFormat="1" applyFont="1" applyFill="1" applyBorder="1" applyAlignment="1">
      <alignment horizontal="center"/>
    </xf>
    <xf numFmtId="43" fontId="27" fillId="31" borderId="4" xfId="12" applyFont="1" applyFill="1" applyBorder="1"/>
    <xf numFmtId="167" fontId="0" fillId="9" borderId="1" xfId="15" applyNumberFormat="1" applyFont="1" applyFill="1" applyBorder="1" applyAlignment="1" applyProtection="1"/>
    <xf numFmtId="43" fontId="0" fillId="0" borderId="4" xfId="15" applyFont="1" applyBorder="1"/>
    <xf numFmtId="43" fontId="0" fillId="0" borderId="4" xfId="15" applyFont="1" applyFill="1" applyBorder="1" applyAlignment="1" applyProtection="1"/>
    <xf numFmtId="185" fontId="0" fillId="0" borderId="108" xfId="0" applyNumberFormat="1" applyBorder="1"/>
    <xf numFmtId="185" fontId="0" fillId="6" borderId="81" xfId="19" applyNumberFormat="1" applyFont="1" applyFill="1" applyBorder="1"/>
    <xf numFmtId="185" fontId="0" fillId="6" borderId="108" xfId="19" applyNumberFormat="1" applyFont="1" applyFill="1" applyBorder="1"/>
    <xf numFmtId="185" fontId="0" fillId="0" borderId="53" xfId="0" applyNumberFormat="1" applyBorder="1"/>
    <xf numFmtId="43" fontId="0" fillId="7" borderId="12" xfId="1" applyFont="1" applyFill="1" applyBorder="1" applyAlignment="1" applyProtection="1"/>
    <xf numFmtId="43" fontId="0" fillId="7" borderId="25" xfId="1" applyFont="1" applyFill="1" applyBorder="1" applyAlignment="1" applyProtection="1"/>
    <xf numFmtId="43" fontId="0" fillId="7" borderId="9" xfId="1" applyFont="1" applyFill="1" applyBorder="1" applyAlignment="1" applyProtection="1"/>
    <xf numFmtId="43" fontId="0" fillId="7" borderId="112" xfId="1" applyFont="1" applyFill="1" applyBorder="1"/>
    <xf numFmtId="43" fontId="31" fillId="2" borderId="0" xfId="1" applyFont="1" applyFill="1" applyAlignment="1">
      <alignment wrapText="1"/>
    </xf>
    <xf numFmtId="43" fontId="0" fillId="31" borderId="113" xfId="1" applyFont="1" applyFill="1" applyBorder="1"/>
    <xf numFmtId="43" fontId="0" fillId="31" borderId="114" xfId="1" applyFont="1" applyFill="1" applyBorder="1"/>
    <xf numFmtId="167" fontId="33" fillId="7" borderId="58" xfId="1" applyNumberFormat="1" applyFont="1" applyFill="1" applyBorder="1" applyAlignment="1" applyProtection="1"/>
    <xf numFmtId="167" fontId="32" fillId="0" borderId="47" xfId="1" applyNumberFormat="1" applyFont="1" applyFill="1" applyBorder="1" applyAlignment="1" applyProtection="1"/>
    <xf numFmtId="43" fontId="0" fillId="31" borderId="4" xfId="1" applyFont="1" applyFill="1" applyBorder="1"/>
    <xf numFmtId="43" fontId="23" fillId="31" borderId="4" xfId="22" applyFont="1" applyFill="1" applyBorder="1"/>
    <xf numFmtId="167" fontId="33" fillId="7" borderId="51" xfId="1" applyNumberFormat="1" applyFont="1" applyFill="1" applyBorder="1" applyAlignment="1" applyProtection="1"/>
    <xf numFmtId="43" fontId="23" fillId="0" borderId="4" xfId="22" applyFont="1" applyBorder="1"/>
    <xf numFmtId="0" fontId="0" fillId="0" borderId="52" xfId="0" applyBorder="1" applyAlignment="1">
      <alignment horizontal="center"/>
    </xf>
    <xf numFmtId="166" fontId="0" fillId="7" borderId="12" xfId="1" applyNumberFormat="1" applyFont="1" applyFill="1" applyBorder="1" applyAlignment="1" applyProtection="1"/>
    <xf numFmtId="166" fontId="0" fillId="7" borderId="25" xfId="1" applyNumberFormat="1" applyFont="1" applyFill="1" applyBorder="1" applyAlignment="1" applyProtection="1"/>
    <xf numFmtId="166" fontId="0" fillId="7" borderId="9" xfId="1" applyNumberFormat="1" applyFont="1" applyFill="1" applyBorder="1" applyAlignment="1" applyProtection="1"/>
    <xf numFmtId="0" fontId="30" fillId="0" borderId="1" xfId="23" applyBorder="1"/>
    <xf numFmtId="167" fontId="30" fillId="0" borderId="1" xfId="0" applyNumberFormat="1" applyFont="1" applyBorder="1"/>
    <xf numFmtId="166" fontId="30" fillId="0" borderId="1" xfId="5" applyFont="1" applyFill="1" applyBorder="1" applyAlignment="1" applyProtection="1">
      <alignment wrapText="1"/>
    </xf>
    <xf numFmtId="0" fontId="110" fillId="0" borderId="4" xfId="0" applyFont="1" applyBorder="1"/>
    <xf numFmtId="166" fontId="32" fillId="0" borderId="4" xfId="5" applyFont="1" applyBorder="1"/>
    <xf numFmtId="43" fontId="32" fillId="0" borderId="4" xfId="1" applyFont="1" applyBorder="1"/>
    <xf numFmtId="9" fontId="0" fillId="0" borderId="0" xfId="0" applyNumberFormat="1"/>
    <xf numFmtId="0" fontId="111" fillId="0" borderId="0" xfId="0" applyFont="1" applyAlignment="1">
      <alignment horizontal="center" wrapText="1"/>
    </xf>
    <xf numFmtId="0" fontId="44" fillId="4" borderId="82" xfId="0" applyFont="1" applyFill="1" applyBorder="1" applyAlignment="1">
      <alignment wrapText="1"/>
    </xf>
    <xf numFmtId="166" fontId="0" fillId="6" borderId="54" xfId="5" applyFont="1" applyFill="1" applyBorder="1" applyAlignment="1" applyProtection="1"/>
    <xf numFmtId="0" fontId="80" fillId="0" borderId="85" xfId="0" applyFont="1" applyBorder="1" applyAlignment="1">
      <alignment wrapText="1"/>
    </xf>
    <xf numFmtId="167" fontId="39" fillId="0" borderId="56" xfId="5" applyNumberFormat="1" applyFont="1" applyFill="1" applyBorder="1" applyAlignment="1" applyProtection="1"/>
    <xf numFmtId="0" fontId="43" fillId="29" borderId="0" xfId="0" applyFont="1" applyFill="1" applyAlignment="1">
      <alignment wrapText="1"/>
    </xf>
    <xf numFmtId="43" fontId="33" fillId="29" borderId="0" xfId="1" applyFont="1" applyFill="1" applyBorder="1" applyAlignment="1" applyProtection="1"/>
    <xf numFmtId="43" fontId="41" fillId="29" borderId="0" xfId="1" applyFont="1" applyFill="1"/>
    <xf numFmtId="0" fontId="41" fillId="29" borderId="0" xfId="0" applyFont="1" applyFill="1"/>
    <xf numFmtId="168" fontId="41" fillId="29" borderId="0" xfId="2" applyNumberFormat="1" applyFont="1" applyFill="1" applyBorder="1" applyAlignment="1" applyProtection="1"/>
    <xf numFmtId="43" fontId="0" fillId="32" borderId="111" xfId="1" applyFont="1" applyFill="1" applyBorder="1"/>
    <xf numFmtId="167" fontId="0" fillId="33" borderId="1" xfId="15" applyNumberFormat="1" applyFont="1" applyFill="1" applyBorder="1" applyAlignment="1" applyProtection="1"/>
    <xf numFmtId="166" fontId="44" fillId="30" borderId="12" xfId="1" applyNumberFormat="1" applyFont="1" applyFill="1" applyBorder="1" applyAlignment="1" applyProtection="1"/>
    <xf numFmtId="43" fontId="44" fillId="30" borderId="13" xfId="1" applyFont="1" applyFill="1" applyBorder="1" applyAlignment="1" applyProtection="1"/>
    <xf numFmtId="166" fontId="33" fillId="29" borderId="73" xfId="5" applyFill="1" applyBorder="1" applyAlignment="1">
      <alignment horizontal="center" vertical="center"/>
    </xf>
    <xf numFmtId="0" fontId="43" fillId="30" borderId="1" xfId="0" applyFont="1" applyFill="1" applyBorder="1" applyAlignment="1">
      <alignment wrapText="1"/>
    </xf>
    <xf numFmtId="166" fontId="0" fillId="29" borderId="1" xfId="0" applyNumberFormat="1" applyFill="1" applyBorder="1"/>
    <xf numFmtId="185" fontId="0" fillId="24" borderId="83" xfId="0" applyNumberFormat="1" applyFill="1" applyBorder="1"/>
    <xf numFmtId="185" fontId="0" fillId="24" borderId="0" xfId="0" applyNumberFormat="1" applyFill="1"/>
    <xf numFmtId="0" fontId="32" fillId="4" borderId="47" xfId="0" applyFont="1" applyFill="1" applyBorder="1" applyAlignment="1">
      <alignment horizontal="center"/>
    </xf>
    <xf numFmtId="166" fontId="0" fillId="0" borderId="1" xfId="5" applyFont="1" applyFill="1" applyBorder="1" applyAlignment="1" applyProtection="1">
      <alignment horizontal="center"/>
    </xf>
    <xf numFmtId="0" fontId="32" fillId="4" borderId="1" xfId="0" applyFont="1" applyFill="1" applyBorder="1" applyAlignment="1">
      <alignment horizontal="center"/>
    </xf>
    <xf numFmtId="167" fontId="0" fillId="6" borderId="1" xfId="5" applyNumberFormat="1" applyFont="1" applyFill="1" applyBorder="1" applyAlignment="1" applyProtection="1"/>
    <xf numFmtId="166" fontId="0" fillId="6" borderId="0" xfId="0" applyNumberFormat="1" applyFill="1"/>
    <xf numFmtId="0" fontId="0" fillId="0" borderId="0" xfId="0" applyAlignment="1">
      <alignment vertical="distributed"/>
    </xf>
    <xf numFmtId="9" fontId="0" fillId="0" borderId="0" xfId="2" applyFont="1"/>
    <xf numFmtId="43" fontId="32" fillId="4" borderId="115" xfId="1" applyFont="1" applyFill="1" applyBorder="1" applyAlignment="1" applyProtection="1">
      <alignment horizontal="center"/>
    </xf>
    <xf numFmtId="43" fontId="0" fillId="0" borderId="116" xfId="1" applyFont="1" applyFill="1" applyBorder="1" applyAlignment="1" applyProtection="1"/>
    <xf numFmtId="43" fontId="0" fillId="0" borderId="117" xfId="1" applyFont="1" applyFill="1" applyBorder="1" applyAlignment="1" applyProtection="1"/>
    <xf numFmtId="43" fontId="0" fillId="0" borderId="34" xfId="1" applyFont="1" applyFill="1" applyBorder="1" applyAlignment="1" applyProtection="1">
      <alignment horizontal="center" wrapText="1"/>
    </xf>
    <xf numFmtId="43" fontId="0" fillId="0" borderId="34" xfId="1" applyFont="1" applyFill="1" applyBorder="1" applyAlignment="1" applyProtection="1"/>
    <xf numFmtId="43" fontId="0" fillId="0" borderId="118" xfId="1" applyFont="1" applyFill="1" applyBorder="1" applyAlignment="1" applyProtection="1"/>
    <xf numFmtId="43" fontId="32" fillId="6" borderId="116" xfId="1" applyFont="1" applyFill="1" applyBorder="1" applyAlignment="1" applyProtection="1"/>
    <xf numFmtId="43" fontId="0" fillId="0" borderId="116" xfId="1" applyFont="1" applyFill="1" applyBorder="1" applyAlignment="1" applyProtection="1">
      <alignment horizontal="center" vertical="center" wrapText="1"/>
    </xf>
    <xf numFmtId="43" fontId="0" fillId="0" borderId="34" xfId="1" applyFont="1" applyFill="1" applyBorder="1" applyAlignment="1" applyProtection="1">
      <alignment horizontal="center" vertical="center" wrapText="1"/>
    </xf>
    <xf numFmtId="43" fontId="0" fillId="15" borderId="116" xfId="1" applyFont="1" applyFill="1" applyBorder="1" applyAlignment="1" applyProtection="1"/>
    <xf numFmtId="43" fontId="46" fillId="4" borderId="120" xfId="1" applyFont="1" applyFill="1" applyBorder="1" applyAlignment="1" applyProtection="1">
      <alignment horizontal="center"/>
    </xf>
    <xf numFmtId="43" fontId="43" fillId="0" borderId="40" xfId="1" applyFont="1" applyFill="1" applyBorder="1" applyAlignment="1" applyProtection="1"/>
    <xf numFmtId="43" fontId="32" fillId="6" borderId="40" xfId="1" applyFont="1" applyFill="1" applyBorder="1" applyAlignment="1" applyProtection="1"/>
    <xf numFmtId="43" fontId="43" fillId="15" borderId="40" xfId="1" applyFont="1" applyFill="1" applyBorder="1" applyAlignment="1" applyProtection="1"/>
    <xf numFmtId="43" fontId="32" fillId="4" borderId="118" xfId="1" applyFont="1" applyFill="1" applyBorder="1" applyAlignment="1" applyProtection="1">
      <alignment horizontal="center"/>
    </xf>
    <xf numFmtId="43" fontId="46" fillId="4" borderId="121" xfId="1" applyFont="1" applyFill="1" applyBorder="1" applyAlignment="1" applyProtection="1">
      <alignment horizontal="center"/>
    </xf>
    <xf numFmtId="43" fontId="50" fillId="30" borderId="117" xfId="1" applyFont="1" applyFill="1" applyBorder="1" applyAlignment="1" applyProtection="1">
      <alignment horizontal="center"/>
    </xf>
    <xf numFmtId="166" fontId="44" fillId="30" borderId="122" xfId="1" applyNumberFormat="1" applyFont="1" applyFill="1" applyBorder="1" applyAlignment="1" applyProtection="1"/>
    <xf numFmtId="0" fontId="32" fillId="4" borderId="115" xfId="0" applyFont="1" applyFill="1" applyBorder="1" applyAlignment="1">
      <alignment horizontal="center"/>
    </xf>
    <xf numFmtId="0" fontId="50" fillId="4" borderId="119" xfId="0" applyFont="1" applyFill="1" applyBorder="1" applyAlignment="1">
      <alignment horizontal="center"/>
    </xf>
    <xf numFmtId="0" fontId="0" fillId="24" borderId="9" xfId="0" applyFill="1" applyBorder="1"/>
    <xf numFmtId="43" fontId="0" fillId="24" borderId="9" xfId="1" applyFont="1" applyFill="1" applyBorder="1" applyAlignment="1" applyProtection="1"/>
    <xf numFmtId="170" fontId="39" fillId="24" borderId="9" xfId="1" applyNumberFormat="1" applyFont="1" applyFill="1" applyBorder="1" applyAlignment="1" applyProtection="1"/>
    <xf numFmtId="43" fontId="0" fillId="24" borderId="10" xfId="1" applyFont="1" applyFill="1" applyBorder="1" applyAlignment="1" applyProtection="1"/>
    <xf numFmtId="166" fontId="0" fillId="24" borderId="0" xfId="0" applyNumberFormat="1" applyFill="1"/>
    <xf numFmtId="0" fontId="0" fillId="24" borderId="0" xfId="0" applyFill="1"/>
    <xf numFmtId="0" fontId="52" fillId="24" borderId="0" xfId="0" applyFont="1" applyFill="1" applyAlignment="1">
      <alignment horizontal="center" wrapText="1"/>
    </xf>
    <xf numFmtId="0" fontId="32" fillId="4" borderId="100" xfId="0" applyFont="1" applyFill="1" applyBorder="1" applyAlignment="1">
      <alignment horizontal="center"/>
    </xf>
    <xf numFmtId="0" fontId="0" fillId="4" borderId="51" xfId="0" applyFill="1" applyBorder="1" applyAlignment="1">
      <alignment horizontal="center"/>
    </xf>
    <xf numFmtId="0" fontId="103" fillId="0" borderId="0" xfId="0" applyFont="1" applyAlignment="1">
      <alignment vertical="distributed"/>
    </xf>
    <xf numFmtId="166" fontId="32" fillId="4" borderId="23" xfId="1" applyNumberFormat="1" applyFont="1" applyFill="1" applyBorder="1" applyAlignment="1" applyProtection="1">
      <alignment horizontal="center"/>
    </xf>
    <xf numFmtId="166" fontId="32" fillId="4" borderId="5" xfId="1" applyNumberFormat="1" applyFont="1" applyFill="1" applyBorder="1" applyAlignment="1" applyProtection="1">
      <alignment horizontal="center"/>
    </xf>
    <xf numFmtId="166" fontId="32" fillId="6" borderId="9" xfId="1" applyNumberFormat="1" applyFont="1" applyFill="1" applyBorder="1" applyAlignment="1" applyProtection="1"/>
    <xf numFmtId="166" fontId="0" fillId="0" borderId="9" xfId="0" applyNumberFormat="1" applyBorder="1"/>
    <xf numFmtId="166" fontId="0" fillId="15" borderId="9" xfId="1" applyNumberFormat="1" applyFont="1" applyFill="1" applyBorder="1" applyAlignment="1" applyProtection="1"/>
    <xf numFmtId="166" fontId="50" fillId="30" borderId="21" xfId="1" applyNumberFormat="1" applyFont="1" applyFill="1" applyBorder="1" applyAlignment="1" applyProtection="1">
      <alignment horizontal="center"/>
    </xf>
    <xf numFmtId="167" fontId="41" fillId="0" borderId="1" xfId="5" applyNumberFormat="1" applyFont="1" applyFill="1" applyBorder="1" applyAlignment="1" applyProtection="1"/>
    <xf numFmtId="185" fontId="0" fillId="0" borderId="0" xfId="0" applyNumberFormat="1" applyAlignment="1">
      <alignment wrapText="1"/>
    </xf>
    <xf numFmtId="43" fontId="127" fillId="0" borderId="0" xfId="1" applyFont="1"/>
    <xf numFmtId="43" fontId="127" fillId="29" borderId="0" xfId="1" applyFont="1" applyFill="1"/>
    <xf numFmtId="43" fontId="127" fillId="0" borderId="0" xfId="1" applyFont="1" applyFill="1"/>
    <xf numFmtId="43" fontId="33" fillId="6" borderId="51" xfId="1" applyFont="1" applyFill="1" applyBorder="1" applyAlignment="1" applyProtection="1"/>
    <xf numFmtId="0" fontId="21" fillId="0" borderId="0" xfId="68"/>
    <xf numFmtId="187" fontId="21" fillId="0" borderId="0" xfId="68" applyNumberFormat="1"/>
    <xf numFmtId="9" fontId="0" fillId="0" borderId="0" xfId="69" applyFont="1"/>
    <xf numFmtId="186" fontId="21" fillId="0" borderId="0" xfId="68" applyNumberFormat="1"/>
    <xf numFmtId="187" fontId="0" fillId="0" borderId="0" xfId="69" applyNumberFormat="1" applyFont="1"/>
    <xf numFmtId="186" fontId="21" fillId="0" borderId="112" xfId="68" applyNumberFormat="1" applyBorder="1" applyAlignment="1">
      <alignment wrapText="1"/>
    </xf>
    <xf numFmtId="0" fontId="21" fillId="0" borderId="0" xfId="68" applyAlignment="1">
      <alignment vertical="distributed"/>
    </xf>
    <xf numFmtId="0" fontId="30" fillId="0" borderId="0" xfId="70"/>
    <xf numFmtId="0" fontId="31" fillId="2" borderId="0" xfId="71" applyAlignment="1">
      <alignment wrapText="1"/>
    </xf>
    <xf numFmtId="17" fontId="21" fillId="31" borderId="111" xfId="72" applyNumberFormat="1" applyFont="1" applyFill="1" applyBorder="1"/>
    <xf numFmtId="43" fontId="21" fillId="31" borderId="111" xfId="72" applyFont="1" applyFill="1" applyBorder="1"/>
    <xf numFmtId="0" fontId="30" fillId="7" borderId="0" xfId="70" applyFill="1"/>
    <xf numFmtId="17" fontId="30" fillId="0" borderId="0" xfId="70" applyNumberFormat="1"/>
    <xf numFmtId="43" fontId="21" fillId="7" borderId="113" xfId="70" applyNumberFormat="1" applyFont="1" applyFill="1" applyBorder="1"/>
    <xf numFmtId="185" fontId="0" fillId="0" borderId="4" xfId="0" applyNumberFormat="1" applyBorder="1"/>
    <xf numFmtId="185" fontId="0" fillId="0" borderId="0" xfId="1" applyNumberFormat="1" applyFont="1"/>
    <xf numFmtId="185" fontId="127" fillId="0" borderId="0" xfId="1" applyNumberFormat="1" applyFont="1"/>
    <xf numFmtId="187" fontId="30" fillId="7" borderId="4" xfId="73" applyNumberFormat="1" applyFont="1" applyFill="1" applyBorder="1"/>
    <xf numFmtId="43" fontId="21" fillId="0" borderId="0" xfId="1" applyFont="1"/>
    <xf numFmtId="175" fontId="129" fillId="26" borderId="107" xfId="0" applyNumberFormat="1" applyFont="1" applyFill="1" applyBorder="1"/>
    <xf numFmtId="175" fontId="41" fillId="0" borderId="61" xfId="0" applyNumberFormat="1" applyFont="1" applyBorder="1" applyAlignment="1">
      <alignment vertical="center" wrapText="1"/>
    </xf>
    <xf numFmtId="175" fontId="41" fillId="0" borderId="1" xfId="0" applyNumberFormat="1" applyFont="1" applyBorder="1"/>
    <xf numFmtId="175" fontId="41" fillId="0" borderId="51" xfId="0" applyNumberFormat="1" applyFont="1" applyBorder="1"/>
    <xf numFmtId="175" fontId="41" fillId="0" borderId="52" xfId="0" applyNumberFormat="1" applyFont="1" applyBorder="1"/>
    <xf numFmtId="175" fontId="41" fillId="65" borderId="47" xfId="0" applyNumberFormat="1" applyFont="1" applyFill="1" applyBorder="1"/>
    <xf numFmtId="175" fontId="41" fillId="0" borderId="66" xfId="0" applyNumberFormat="1" applyFont="1" applyBorder="1"/>
    <xf numFmtId="175" fontId="41" fillId="26" borderId="61" xfId="0" applyNumberFormat="1" applyFont="1" applyFill="1" applyBorder="1"/>
    <xf numFmtId="175" fontId="41" fillId="0" borderId="61" xfId="0" applyNumberFormat="1" applyFont="1" applyBorder="1"/>
    <xf numFmtId="175" fontId="41" fillId="65" borderId="1" xfId="0" applyNumberFormat="1" applyFont="1" applyFill="1" applyBorder="1"/>
    <xf numFmtId="185" fontId="19" fillId="0" borderId="4" xfId="116" applyNumberFormat="1" applyFont="1" applyBorder="1"/>
    <xf numFmtId="185" fontId="19" fillId="0" borderId="4" xfId="96" applyNumberFormat="1" applyBorder="1"/>
    <xf numFmtId="170" fontId="99" fillId="4" borderId="9" xfId="5" applyNumberFormat="1" applyFont="1" applyFill="1" applyBorder="1" applyAlignment="1" applyProtection="1"/>
    <xf numFmtId="0" fontId="0" fillId="0" borderId="0" xfId="0" applyAlignment="1">
      <alignment horizontal="centerContinuous" wrapText="1"/>
    </xf>
    <xf numFmtId="0" fontId="0" fillId="0" borderId="0" xfId="0" applyAlignment="1">
      <alignment vertical="justify" wrapText="1"/>
    </xf>
    <xf numFmtId="4" fontId="33" fillId="0" borderId="0" xfId="5" applyNumberFormat="1"/>
    <xf numFmtId="43" fontId="128" fillId="2" borderId="0" xfId="1" applyFont="1" applyFill="1" applyAlignment="1">
      <alignment wrapText="1"/>
    </xf>
    <xf numFmtId="43" fontId="103" fillId="0" borderId="0" xfId="1" applyFont="1"/>
    <xf numFmtId="187" fontId="30" fillId="31" borderId="4" xfId="73" applyNumberFormat="1" applyFont="1" applyFill="1" applyBorder="1"/>
    <xf numFmtId="43" fontId="44" fillId="4" borderId="28" xfId="1" applyFont="1" applyFill="1" applyBorder="1" applyAlignment="1">
      <alignment horizontal="center"/>
    </xf>
    <xf numFmtId="43" fontId="0" fillId="0" borderId="112" xfId="1" applyFont="1" applyBorder="1"/>
    <xf numFmtId="43" fontId="0" fillId="64" borderId="112" xfId="1" applyFont="1" applyFill="1" applyBorder="1"/>
    <xf numFmtId="43" fontId="0" fillId="64" borderId="113" xfId="1" applyFont="1" applyFill="1" applyBorder="1"/>
    <xf numFmtId="43" fontId="0" fillId="0" borderId="113" xfId="1" applyFont="1" applyBorder="1"/>
    <xf numFmtId="185" fontId="0" fillId="0" borderId="112" xfId="0" applyNumberFormat="1" applyBorder="1"/>
    <xf numFmtId="187" fontId="0" fillId="0" borderId="0" xfId="0" applyNumberFormat="1"/>
    <xf numFmtId="186" fontId="30" fillId="0" borderId="0" xfId="70" applyNumberFormat="1"/>
    <xf numFmtId="0" fontId="30" fillId="0" borderId="0" xfId="70" applyAlignment="1">
      <alignment vertical="distributed"/>
    </xf>
    <xf numFmtId="0" fontId="0" fillId="0" borderId="0" xfId="0" applyAlignment="1">
      <alignment vertical="justify"/>
    </xf>
    <xf numFmtId="167" fontId="130" fillId="0" borderId="0" xfId="0" applyNumberFormat="1" applyFont="1"/>
    <xf numFmtId="43" fontId="130" fillId="0" borderId="4" xfId="1" applyFont="1" applyBorder="1"/>
    <xf numFmtId="186" fontId="0" fillId="0" borderId="0" xfId="0" applyNumberFormat="1"/>
    <xf numFmtId="185" fontId="15" fillId="0" borderId="4" xfId="183" applyNumberFormat="1" applyFont="1" applyBorder="1"/>
    <xf numFmtId="185" fontId="15" fillId="0" borderId="4" xfId="182" applyNumberFormat="1" applyBorder="1"/>
    <xf numFmtId="10" fontId="0" fillId="0" borderId="0" xfId="2" applyNumberFormat="1" applyFont="1"/>
    <xf numFmtId="0" fontId="14" fillId="0" borderId="0" xfId="68" applyFont="1"/>
    <xf numFmtId="185" fontId="127" fillId="0" borderId="4" xfId="1" applyNumberFormat="1" applyFont="1" applyBorder="1"/>
    <xf numFmtId="2" fontId="0" fillId="0" borderId="0" xfId="2" applyNumberFormat="1" applyFont="1"/>
    <xf numFmtId="185" fontId="131" fillId="0" borderId="4" xfId="1" applyNumberFormat="1" applyFont="1" applyBorder="1"/>
    <xf numFmtId="43" fontId="0" fillId="31" borderId="112" xfId="1" applyFont="1" applyFill="1" applyBorder="1"/>
    <xf numFmtId="43" fontId="0" fillId="7" borderId="113" xfId="1" applyFont="1" applyFill="1" applyBorder="1"/>
    <xf numFmtId="10" fontId="21" fillId="0" borderId="0" xfId="68" applyNumberFormat="1"/>
    <xf numFmtId="43" fontId="13" fillId="0" borderId="0" xfId="1" applyFont="1"/>
    <xf numFmtId="0" fontId="21" fillId="7" borderId="0" xfId="68" applyFill="1"/>
    <xf numFmtId="43" fontId="15" fillId="7" borderId="0" xfId="183" applyFont="1" applyFill="1" applyAlignment="1">
      <alignment wrapText="1"/>
    </xf>
    <xf numFmtId="43" fontId="21" fillId="7" borderId="0" xfId="1" applyFont="1" applyFill="1"/>
    <xf numFmtId="10" fontId="0" fillId="7" borderId="0" xfId="2" applyNumberFormat="1" applyFont="1" applyFill="1"/>
    <xf numFmtId="187" fontId="21" fillId="7" borderId="0" xfId="68" applyNumberFormat="1" applyFill="1"/>
    <xf numFmtId="185" fontId="0" fillId="0" borderId="108" xfId="1" applyNumberFormat="1" applyFont="1" applyBorder="1"/>
    <xf numFmtId="187" fontId="0" fillId="0" borderId="4" xfId="73" applyNumberFormat="1" applyFont="1" applyBorder="1"/>
    <xf numFmtId="0" fontId="100" fillId="11" borderId="76" xfId="0" applyFont="1" applyFill="1" applyBorder="1" applyAlignment="1">
      <alignment vertical="center" wrapText="1"/>
    </xf>
    <xf numFmtId="185" fontId="30" fillId="7" borderId="0" xfId="1" applyNumberFormat="1" applyFont="1" applyFill="1"/>
    <xf numFmtId="43" fontId="0" fillId="18" borderId="9" xfId="1" applyFont="1" applyFill="1" applyBorder="1" applyAlignment="1" applyProtection="1"/>
    <xf numFmtId="43" fontId="0" fillId="22" borderId="9" xfId="5" applyNumberFormat="1" applyFont="1" applyFill="1" applyBorder="1" applyAlignment="1" applyProtection="1"/>
    <xf numFmtId="43" fontId="0" fillId="15" borderId="9" xfId="5" applyNumberFormat="1" applyFont="1" applyFill="1" applyBorder="1" applyAlignment="1" applyProtection="1"/>
    <xf numFmtId="43" fontId="32" fillId="4" borderId="9" xfId="5" applyNumberFormat="1" applyFont="1" applyFill="1" applyBorder="1" applyAlignment="1" applyProtection="1"/>
    <xf numFmtId="43" fontId="56" fillId="4" borderId="9" xfId="5" applyNumberFormat="1" applyFont="1" applyFill="1" applyBorder="1" applyAlignment="1" applyProtection="1"/>
    <xf numFmtId="43" fontId="0" fillId="0" borderId="9" xfId="5" applyNumberFormat="1" applyFont="1" applyFill="1" applyBorder="1" applyAlignment="1" applyProtection="1"/>
    <xf numFmtId="43" fontId="50" fillId="4" borderId="12" xfId="5" applyNumberFormat="1" applyFont="1" applyFill="1" applyBorder="1" applyAlignment="1" applyProtection="1"/>
    <xf numFmtId="43" fontId="0" fillId="66" borderId="9" xfId="5" applyNumberFormat="1" applyFont="1" applyFill="1" applyBorder="1" applyAlignment="1" applyProtection="1"/>
    <xf numFmtId="186" fontId="0" fillId="0" borderId="1" xfId="2" applyNumberFormat="1" applyFont="1" applyFill="1" applyBorder="1" applyAlignment="1" applyProtection="1"/>
    <xf numFmtId="43" fontId="30" fillId="0" borderId="0" xfId="1"/>
    <xf numFmtId="185" fontId="0" fillId="0" borderId="112" xfId="1" applyNumberFormat="1" applyFont="1" applyBorder="1"/>
    <xf numFmtId="185" fontId="0" fillId="64" borderId="112" xfId="1" applyNumberFormat="1" applyFont="1" applyFill="1" applyBorder="1"/>
    <xf numFmtId="185" fontId="30" fillId="0" borderId="4" xfId="224" applyNumberFormat="1" applyFont="1" applyBorder="1"/>
    <xf numFmtId="166" fontId="32" fillId="0" borderId="1" xfId="1" applyNumberFormat="1" applyFont="1" applyFill="1" applyBorder="1" applyAlignment="1" applyProtection="1"/>
    <xf numFmtId="166" fontId="33" fillId="7" borderId="1" xfId="1" applyNumberFormat="1" applyFont="1" applyFill="1" applyBorder="1" applyAlignment="1" applyProtection="1"/>
    <xf numFmtId="185" fontId="12" fillId="0" borderId="4" xfId="204" applyNumberFormat="1" applyBorder="1"/>
    <xf numFmtId="2" fontId="0" fillId="0" borderId="4" xfId="0" applyNumberFormat="1" applyBorder="1"/>
    <xf numFmtId="184" fontId="0" fillId="0" borderId="4" xfId="0" applyNumberFormat="1" applyBorder="1"/>
    <xf numFmtId="168" fontId="0" fillId="0" borderId="4" xfId="0" applyNumberFormat="1" applyBorder="1"/>
    <xf numFmtId="10" fontId="0" fillId="0" borderId="4" xfId="0" applyNumberFormat="1" applyBorder="1"/>
    <xf numFmtId="0" fontId="103" fillId="0" borderId="4" xfId="0" applyFont="1" applyBorder="1"/>
    <xf numFmtId="2" fontId="103" fillId="0" borderId="4" xfId="0" applyNumberFormat="1" applyFont="1" applyBorder="1"/>
    <xf numFmtId="4" fontId="103" fillId="0" borderId="4" xfId="0" applyNumberFormat="1" applyFont="1" applyBorder="1"/>
    <xf numFmtId="10" fontId="103" fillId="0" borderId="4" xfId="0" applyNumberFormat="1" applyFont="1" applyBorder="1"/>
    <xf numFmtId="0" fontId="103" fillId="6" borderId="4" xfId="0" applyFont="1" applyFill="1" applyBorder="1"/>
    <xf numFmtId="184" fontId="0" fillId="6" borderId="4" xfId="0" applyNumberFormat="1" applyFill="1" applyBorder="1"/>
    <xf numFmtId="4" fontId="103" fillId="6" borderId="4" xfId="0" applyNumberFormat="1" applyFont="1" applyFill="1" applyBorder="1"/>
    <xf numFmtId="10" fontId="30" fillId="0" borderId="0" xfId="2" applyNumberFormat="1"/>
    <xf numFmtId="188" fontId="0" fillId="0" borderId="1" xfId="2" applyNumberFormat="1" applyFont="1" applyFill="1" applyBorder="1" applyAlignment="1" applyProtection="1"/>
    <xf numFmtId="166" fontId="0" fillId="7" borderId="9" xfId="5" applyFont="1" applyFill="1" applyBorder="1" applyAlignment="1" applyProtection="1"/>
    <xf numFmtId="43" fontId="33" fillId="0" borderId="1" xfId="1" applyFont="1" applyFill="1" applyBorder="1" applyAlignment="1" applyProtection="1"/>
    <xf numFmtId="185" fontId="30" fillId="0" borderId="4" xfId="229" applyNumberFormat="1" applyFont="1" applyBorder="1"/>
    <xf numFmtId="43" fontId="32" fillId="0" borderId="1" xfId="1" applyFont="1" applyFill="1" applyBorder="1" applyAlignment="1" applyProtection="1"/>
    <xf numFmtId="43" fontId="0" fillId="0" borderId="1" xfId="1" applyFont="1" applyFill="1" applyBorder="1" applyAlignment="1" applyProtection="1"/>
    <xf numFmtId="43" fontId="0" fillId="0" borderId="1" xfId="2" applyNumberFormat="1" applyFont="1" applyFill="1" applyBorder="1" applyAlignment="1" applyProtection="1"/>
    <xf numFmtId="0" fontId="43" fillId="67" borderId="1" xfId="0" applyFont="1" applyFill="1" applyBorder="1" applyAlignment="1">
      <alignment wrapText="1"/>
    </xf>
    <xf numFmtId="166" fontId="43" fillId="67" borderId="1" xfId="5" applyFont="1" applyFill="1" applyBorder="1" applyAlignment="1" applyProtection="1"/>
    <xf numFmtId="0" fontId="41" fillId="67" borderId="0" xfId="0" applyFont="1" applyFill="1"/>
    <xf numFmtId="166" fontId="41" fillId="67" borderId="1" xfId="5" applyFont="1" applyFill="1" applyBorder="1" applyAlignment="1" applyProtection="1"/>
    <xf numFmtId="166" fontId="41" fillId="67" borderId="1" xfId="0" applyNumberFormat="1" applyFont="1" applyFill="1" applyBorder="1"/>
    <xf numFmtId="10" fontId="41" fillId="67" borderId="0" xfId="2" applyNumberFormat="1" applyFont="1" applyFill="1" applyBorder="1" applyAlignment="1" applyProtection="1"/>
    <xf numFmtId="166" fontId="41" fillId="68" borderId="1" xfId="5" applyFont="1" applyFill="1" applyBorder="1" applyAlignment="1" applyProtection="1"/>
    <xf numFmtId="0" fontId="132" fillId="11" borderId="4" xfId="0" applyFont="1" applyFill="1" applyBorder="1"/>
    <xf numFmtId="0" fontId="133" fillId="7" borderId="4" xfId="0" applyFont="1" applyFill="1" applyBorder="1"/>
    <xf numFmtId="0" fontId="133" fillId="0" borderId="4" xfId="0" applyFont="1" applyBorder="1" applyAlignment="1">
      <alignment wrapText="1"/>
    </xf>
    <xf numFmtId="43" fontId="133" fillId="0" borderId="4" xfId="1" applyFont="1" applyBorder="1"/>
    <xf numFmtId="43" fontId="133" fillId="0" borderId="4" xfId="1" applyFont="1" applyBorder="1" applyAlignment="1">
      <alignment wrapText="1"/>
    </xf>
    <xf numFmtId="0" fontId="133" fillId="0" borderId="4" xfId="0" applyFont="1" applyBorder="1"/>
    <xf numFmtId="0" fontId="134" fillId="0" borderId="4" xfId="0" applyFont="1" applyBorder="1"/>
    <xf numFmtId="0" fontId="135" fillId="0" borderId="4" xfId="0" applyFont="1" applyBorder="1"/>
    <xf numFmtId="185" fontId="134" fillId="0" borderId="4" xfId="1" applyNumberFormat="1" applyFont="1" applyBorder="1"/>
    <xf numFmtId="43" fontId="134" fillId="0" borderId="4" xfId="1" applyFont="1" applyBorder="1"/>
    <xf numFmtId="0" fontId="133" fillId="7" borderId="4" xfId="0" applyFont="1" applyFill="1" applyBorder="1" applyAlignment="1">
      <alignment wrapText="1"/>
    </xf>
    <xf numFmtId="43" fontId="135" fillId="0" borderId="4" xfId="1" applyFont="1" applyBorder="1"/>
    <xf numFmtId="43" fontId="0" fillId="0" borderId="144" xfId="1" applyFont="1" applyBorder="1"/>
    <xf numFmtId="43" fontId="10" fillId="31" borderId="0" xfId="1" applyFont="1" applyFill="1" applyBorder="1"/>
    <xf numFmtId="43" fontId="10" fillId="31" borderId="145" xfId="1" applyFont="1" applyFill="1" applyBorder="1"/>
    <xf numFmtId="185" fontId="0" fillId="7" borderId="108" xfId="19" applyNumberFormat="1" applyFont="1" applyFill="1" applyBorder="1"/>
    <xf numFmtId="185" fontId="0" fillId="7" borderId="81" xfId="19" applyNumberFormat="1" applyFont="1" applyFill="1" applyBorder="1"/>
    <xf numFmtId="189" fontId="0" fillId="0" borderId="4" xfId="0" applyNumberFormat="1" applyBorder="1"/>
    <xf numFmtId="43" fontId="0" fillId="17" borderId="40" xfId="1" applyFont="1" applyFill="1" applyBorder="1" applyAlignment="1" applyProtection="1"/>
    <xf numFmtId="170" fontId="39" fillId="24" borderId="40" xfId="1" applyNumberFormat="1" applyFont="1" applyFill="1" applyBorder="1" applyAlignment="1" applyProtection="1"/>
    <xf numFmtId="43" fontId="32" fillId="4" borderId="40" xfId="1" applyFont="1" applyFill="1" applyBorder="1" applyAlignment="1" applyProtection="1"/>
    <xf numFmtId="170" fontId="0" fillId="0" borderId="40" xfId="1" applyNumberFormat="1" applyFont="1" applyFill="1" applyBorder="1" applyAlignment="1" applyProtection="1"/>
    <xf numFmtId="170" fontId="32" fillId="4" borderId="40" xfId="1" applyNumberFormat="1" applyFont="1" applyFill="1" applyBorder="1" applyAlignment="1" applyProtection="1"/>
    <xf numFmtId="43" fontId="0" fillId="27" borderId="119" xfId="1" applyFont="1" applyFill="1" applyBorder="1" applyAlignment="1" applyProtection="1"/>
    <xf numFmtId="170" fontId="0" fillId="27" borderId="118" xfId="1" applyNumberFormat="1" applyFont="1" applyFill="1" applyBorder="1" applyAlignment="1" applyProtection="1"/>
    <xf numFmtId="170" fontId="0" fillId="27" borderId="116" xfId="1" applyNumberFormat="1" applyFont="1" applyFill="1" applyBorder="1" applyAlignment="1" applyProtection="1"/>
    <xf numFmtId="43" fontId="0" fillId="17" borderId="116" xfId="1" applyFont="1" applyFill="1" applyBorder="1" applyAlignment="1" applyProtection="1"/>
    <xf numFmtId="170" fontId="0" fillId="24" borderId="116" xfId="1" applyNumberFormat="1" applyFont="1" applyFill="1" applyBorder="1" applyAlignment="1" applyProtection="1"/>
    <xf numFmtId="43" fontId="32" fillId="4" borderId="116" xfId="1" applyFont="1" applyFill="1" applyBorder="1" applyAlignment="1" applyProtection="1"/>
    <xf numFmtId="170" fontId="0" fillId="0" borderId="116" xfId="1" applyNumberFormat="1" applyFont="1" applyFill="1" applyBorder="1" applyAlignment="1" applyProtection="1"/>
    <xf numFmtId="170" fontId="32" fillId="4" borderId="116" xfId="1" applyNumberFormat="1" applyFont="1" applyFill="1" applyBorder="1" applyAlignment="1" applyProtection="1"/>
    <xf numFmtId="166" fontId="46" fillId="16" borderId="146" xfId="1" applyNumberFormat="1" applyFont="1" applyFill="1" applyBorder="1" applyAlignment="1" applyProtection="1">
      <alignment horizontal="center"/>
    </xf>
    <xf numFmtId="170" fontId="50" fillId="4" borderId="147" xfId="1" applyNumberFormat="1" applyFont="1" applyFill="1" applyBorder="1" applyAlignment="1" applyProtection="1"/>
    <xf numFmtId="0" fontId="0" fillId="0" borderId="116" xfId="6" applyFont="1" applyBorder="1"/>
    <xf numFmtId="170" fontId="50" fillId="4" borderId="119" xfId="1" applyNumberFormat="1" applyFont="1" applyFill="1" applyBorder="1" applyAlignment="1" applyProtection="1"/>
    <xf numFmtId="175" fontId="129" fillId="26" borderId="148" xfId="0" applyNumberFormat="1" applyFont="1" applyFill="1" applyBorder="1"/>
    <xf numFmtId="175" fontId="129" fillId="26" borderId="149" xfId="0" applyNumberFormat="1" applyFont="1" applyFill="1" applyBorder="1"/>
    <xf numFmtId="43" fontId="0" fillId="17" borderId="149" xfId="1" applyFont="1" applyFill="1" applyBorder="1" applyAlignment="1" applyProtection="1"/>
    <xf numFmtId="170" fontId="39" fillId="24" borderId="149" xfId="1" applyNumberFormat="1" applyFont="1" applyFill="1" applyBorder="1" applyAlignment="1" applyProtection="1"/>
    <xf numFmtId="43" fontId="32" fillId="4" borderId="149" xfId="1" applyFont="1" applyFill="1" applyBorder="1" applyAlignment="1" applyProtection="1"/>
    <xf numFmtId="170" fontId="32" fillId="4" borderId="149" xfId="1" applyNumberFormat="1" applyFont="1" applyFill="1" applyBorder="1" applyAlignment="1" applyProtection="1"/>
    <xf numFmtId="170" fontId="32" fillId="4" borderId="150" xfId="1" applyNumberFormat="1" applyFont="1" applyFill="1" applyBorder="1" applyAlignment="1" applyProtection="1"/>
    <xf numFmtId="170" fontId="0" fillId="0" borderId="151" xfId="1" applyNumberFormat="1" applyFont="1" applyFill="1" applyBorder="1" applyAlignment="1" applyProtection="1"/>
    <xf numFmtId="170" fontId="50" fillId="4" borderId="152" xfId="1" applyNumberFormat="1" applyFont="1" applyFill="1" applyBorder="1" applyAlignment="1" applyProtection="1"/>
    <xf numFmtId="166" fontId="50" fillId="30" borderId="12" xfId="5" applyFont="1" applyFill="1" applyBorder="1" applyAlignment="1" applyProtection="1"/>
    <xf numFmtId="2" fontId="102" fillId="0" borderId="56" xfId="0" applyNumberFormat="1" applyFont="1" applyBorder="1" applyAlignment="1">
      <alignment horizontal="center" vertical="center" wrapText="1"/>
    </xf>
    <xf numFmtId="10" fontId="33" fillId="7" borderId="1" xfId="2" applyNumberFormat="1" applyFont="1" applyFill="1" applyBorder="1" applyAlignment="1" applyProtection="1"/>
    <xf numFmtId="43" fontId="0" fillId="0" borderId="0" xfId="1" applyFont="1" applyAlignment="1">
      <alignment wrapText="1"/>
    </xf>
    <xf numFmtId="1" fontId="0" fillId="0" borderId="0" xfId="2" applyNumberFormat="1" applyFont="1"/>
    <xf numFmtId="175" fontId="41" fillId="26" borderId="24" xfId="0" applyNumberFormat="1" applyFont="1" applyFill="1" applyBorder="1"/>
    <xf numFmtId="0" fontId="100" fillId="11" borderId="76" xfId="0" applyFont="1" applyFill="1" applyBorder="1" applyAlignment="1">
      <alignment horizontal="center" vertical="center" wrapText="1"/>
    </xf>
    <xf numFmtId="0" fontId="100" fillId="11" borderId="77" xfId="0" applyFont="1" applyFill="1" applyBorder="1" applyAlignment="1">
      <alignment horizontal="center" vertical="center" wrapText="1"/>
    </xf>
    <xf numFmtId="0" fontId="100" fillId="11" borderId="78" xfId="0" applyFont="1" applyFill="1" applyBorder="1" applyAlignment="1">
      <alignment horizontal="center" vertical="center" wrapText="1"/>
    </xf>
    <xf numFmtId="0" fontId="102" fillId="0" borderId="0" xfId="0" applyFont="1" applyAlignment="1">
      <alignment vertical="center" wrapText="1"/>
    </xf>
    <xf numFmtId="0" fontId="102" fillId="0" borderId="0" xfId="0" applyFont="1" applyAlignment="1">
      <alignment horizontal="center" vertical="center" wrapText="1"/>
    </xf>
    <xf numFmtId="10" fontId="106" fillId="0" borderId="3" xfId="2" applyNumberFormat="1" applyFont="1" applyFill="1" applyBorder="1" applyAlignment="1" applyProtection="1"/>
    <xf numFmtId="10" fontId="106" fillId="0" borderId="92" xfId="2" applyNumberFormat="1" applyFont="1" applyFill="1" applyBorder="1" applyAlignment="1" applyProtection="1"/>
    <xf numFmtId="10" fontId="106" fillId="0" borderId="57" xfId="2" applyNumberFormat="1" applyFont="1" applyFill="1" applyBorder="1" applyAlignment="1" applyProtection="1"/>
    <xf numFmtId="0" fontId="77" fillId="21" borderId="100" xfId="0" applyFont="1" applyFill="1" applyBorder="1" applyAlignment="1">
      <alignment horizontal="center" vertical="center" wrapText="1"/>
    </xf>
    <xf numFmtId="0" fontId="107" fillId="0" borderId="108" xfId="0" applyFont="1" applyBorder="1"/>
    <xf numFmtId="0" fontId="76" fillId="0" borderId="154" xfId="0" applyFont="1" applyBorder="1"/>
    <xf numFmtId="166" fontId="33" fillId="0" borderId="0" xfId="5" applyBorder="1"/>
    <xf numFmtId="185" fontId="0" fillId="0" borderId="0" xfId="1" applyNumberFormat="1" applyFont="1" applyBorder="1"/>
    <xf numFmtId="0" fontId="110" fillId="0" borderId="0" xfId="0" applyFont="1"/>
    <xf numFmtId="166" fontId="32" fillId="0" borderId="0" xfId="5" applyFont="1" applyBorder="1"/>
    <xf numFmtId="43" fontId="0" fillId="0" borderId="0" xfId="1" applyFont="1" applyBorder="1"/>
    <xf numFmtId="43" fontId="32" fillId="0" borderId="0" xfId="1" applyFont="1" applyBorder="1"/>
    <xf numFmtId="167" fontId="32" fillId="0" borderId="0" xfId="0" applyNumberFormat="1" applyFont="1"/>
    <xf numFmtId="3" fontId="57" fillId="0" borderId="0" xfId="0" applyNumberFormat="1" applyFont="1" applyAlignment="1">
      <alignment horizontal="center" vertical="center" wrapText="1"/>
    </xf>
    <xf numFmtId="179" fontId="0" fillId="0" borderId="0" xfId="0" applyNumberFormat="1"/>
    <xf numFmtId="173" fontId="0" fillId="0" borderId="57" xfId="0" applyNumberFormat="1" applyBorder="1"/>
    <xf numFmtId="166" fontId="0" fillId="0" borderId="58" xfId="5" applyFont="1" applyFill="1" applyBorder="1" applyAlignment="1" applyProtection="1">
      <alignment wrapText="1"/>
    </xf>
    <xf numFmtId="190" fontId="0" fillId="0" borderId="4" xfId="1" applyNumberFormat="1" applyFont="1" applyBorder="1"/>
    <xf numFmtId="0" fontId="103" fillId="0" borderId="0" xfId="0" applyFont="1" applyAlignment="1">
      <alignment horizontal="center"/>
    </xf>
    <xf numFmtId="0" fontId="39" fillId="0" borderId="1" xfId="2" applyNumberFormat="1" applyFont="1" applyFill="1" applyBorder="1" applyAlignment="1" applyProtection="1"/>
    <xf numFmtId="0" fontId="39" fillId="0" borderId="1" xfId="0" applyFont="1" applyBorder="1"/>
    <xf numFmtId="0" fontId="0" fillId="0" borderId="1" xfId="1" applyNumberFormat="1" applyFont="1" applyBorder="1"/>
    <xf numFmtId="0" fontId="103" fillId="0" borderId="155" xfId="0" applyFont="1" applyBorder="1" applyAlignment="1">
      <alignment vertical="distributed"/>
    </xf>
    <xf numFmtId="0" fontId="131" fillId="6" borderId="0" xfId="0" applyFont="1" applyFill="1"/>
    <xf numFmtId="43" fontId="0" fillId="7" borderId="0" xfId="0" applyNumberFormat="1" applyFill="1"/>
    <xf numFmtId="43" fontId="103" fillId="6" borderId="0" xfId="1" applyFont="1" applyFill="1" applyAlignment="1">
      <alignment wrapText="1"/>
    </xf>
    <xf numFmtId="0" fontId="2" fillId="0" borderId="0" xfId="68" applyFont="1"/>
    <xf numFmtId="0" fontId="1" fillId="0" borderId="4" xfId="647" applyBorder="1"/>
    <xf numFmtId="0" fontId="1" fillId="0" borderId="0" xfId="647"/>
    <xf numFmtId="17" fontId="1" fillId="0" borderId="4" xfId="647" applyNumberFormat="1" applyBorder="1"/>
    <xf numFmtId="185" fontId="1" fillId="0" borderId="4" xfId="1" applyNumberFormat="1" applyFont="1" applyBorder="1"/>
    <xf numFmtId="3" fontId="1" fillId="0" borderId="4" xfId="647" applyNumberFormat="1" applyBorder="1"/>
    <xf numFmtId="9" fontId="1" fillId="0" borderId="4" xfId="647" applyNumberFormat="1" applyBorder="1"/>
    <xf numFmtId="0" fontId="123" fillId="69" borderId="4" xfId="647" applyFont="1" applyFill="1" applyBorder="1"/>
    <xf numFmtId="166" fontId="32" fillId="0" borderId="47" xfId="1" applyNumberFormat="1" applyFont="1" applyFill="1" applyBorder="1" applyAlignment="1" applyProtection="1"/>
    <xf numFmtId="166" fontId="32" fillId="7" borderId="1" xfId="1" applyNumberFormat="1" applyFont="1" applyFill="1" applyBorder="1" applyAlignment="1" applyProtection="1"/>
    <xf numFmtId="0" fontId="0" fillId="70" borderId="9" xfId="0" applyFill="1" applyBorder="1"/>
    <xf numFmtId="166" fontId="0" fillId="71" borderId="9" xfId="5" applyFont="1" applyFill="1" applyBorder="1" applyAlignment="1" applyProtection="1"/>
    <xf numFmtId="170" fontId="0" fillId="71" borderId="9" xfId="5" applyNumberFormat="1" applyFont="1" applyFill="1" applyBorder="1" applyAlignment="1" applyProtection="1"/>
    <xf numFmtId="43" fontId="0" fillId="71" borderId="9" xfId="5" applyNumberFormat="1" applyFont="1" applyFill="1" applyBorder="1" applyAlignment="1" applyProtection="1"/>
    <xf numFmtId="0" fontId="0" fillId="70" borderId="9" xfId="0" applyFill="1" applyBorder="1" applyAlignment="1">
      <alignment wrapText="1"/>
    </xf>
    <xf numFmtId="0" fontId="0" fillId="7" borderId="9" xfId="0" applyFill="1" applyBorder="1"/>
    <xf numFmtId="43" fontId="0" fillId="7" borderId="9" xfId="5" applyNumberFormat="1" applyFont="1" applyFill="1" applyBorder="1" applyAlignment="1" applyProtection="1"/>
    <xf numFmtId="173" fontId="0" fillId="0" borderId="0" xfId="0" applyNumberFormat="1"/>
    <xf numFmtId="43" fontId="0" fillId="0" borderId="0" xfId="645" applyFont="1"/>
    <xf numFmtId="170" fontId="0" fillId="18" borderId="9" xfId="5" applyNumberFormat="1" applyFont="1" applyFill="1" applyBorder="1" applyAlignment="1" applyProtection="1"/>
    <xf numFmtId="170" fontId="0" fillId="7" borderId="9" xfId="5" applyNumberFormat="1" applyFont="1" applyFill="1" applyBorder="1" applyAlignment="1" applyProtection="1"/>
    <xf numFmtId="170" fontId="0" fillId="0" borderId="9" xfId="5" applyNumberFormat="1" applyFont="1" applyFill="1" applyBorder="1" applyAlignment="1" applyProtection="1"/>
    <xf numFmtId="43" fontId="0" fillId="0" borderId="0" xfId="649" applyFont="1"/>
    <xf numFmtId="43" fontId="41" fillId="7" borderId="107" xfId="1" applyFont="1" applyFill="1" applyBorder="1" applyAlignment="1">
      <alignment horizontal="center"/>
    </xf>
    <xf numFmtId="170" fontId="0" fillId="7" borderId="12" xfId="1" applyNumberFormat="1" applyFont="1" applyFill="1" applyBorder="1" applyAlignment="1" applyProtection="1"/>
    <xf numFmtId="170" fontId="0" fillId="7" borderId="121" xfId="1" applyNumberFormat="1" applyFont="1" applyFill="1" applyBorder="1" applyAlignment="1" applyProtection="1"/>
    <xf numFmtId="43" fontId="41" fillId="7" borderId="61" xfId="1" applyFont="1" applyFill="1" applyBorder="1" applyAlignment="1">
      <alignment horizontal="center" vertical="center" wrapText="1"/>
    </xf>
    <xf numFmtId="170" fontId="0" fillId="7" borderId="25" xfId="1" applyNumberFormat="1" applyFont="1" applyFill="1" applyBorder="1" applyAlignment="1" applyProtection="1"/>
    <xf numFmtId="43" fontId="41" fillId="7" borderId="1" xfId="1" applyFont="1" applyFill="1" applyBorder="1" applyAlignment="1">
      <alignment horizontal="center"/>
    </xf>
    <xf numFmtId="170" fontId="0" fillId="7" borderId="9" xfId="1" applyNumberFormat="1" applyFont="1" applyFill="1" applyBorder="1" applyAlignment="1" applyProtection="1"/>
    <xf numFmtId="43" fontId="41" fillId="72" borderId="1" xfId="1" applyFont="1" applyFill="1" applyBorder="1" applyAlignment="1">
      <alignment horizontal="center"/>
    </xf>
    <xf numFmtId="43" fontId="41" fillId="72" borderId="52" xfId="1" applyFont="1" applyFill="1" applyBorder="1" applyAlignment="1">
      <alignment horizontal="center"/>
    </xf>
    <xf numFmtId="166" fontId="138" fillId="71" borderId="9" xfId="5" applyFont="1" applyFill="1" applyBorder="1" applyAlignment="1" applyProtection="1"/>
    <xf numFmtId="0" fontId="21" fillId="0" borderId="0" xfId="68" applyAlignment="1">
      <alignment wrapText="1"/>
    </xf>
    <xf numFmtId="0" fontId="2" fillId="0" borderId="0" xfId="68" applyFont="1" applyAlignment="1">
      <alignment wrapText="1"/>
    </xf>
    <xf numFmtId="0" fontId="30" fillId="0" borderId="0" xfId="70" applyAlignment="1">
      <alignment horizontal="center"/>
    </xf>
    <xf numFmtId="0" fontId="0" fillId="0" borderId="0" xfId="0" applyAlignment="1">
      <alignment horizontal="center"/>
    </xf>
    <xf numFmtId="0" fontId="109" fillId="28" borderId="0" xfId="0" applyFont="1" applyFill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0" fontId="0" fillId="0" borderId="137" xfId="0" applyBorder="1" applyAlignment="1">
      <alignment horizontal="center"/>
    </xf>
    <xf numFmtId="0" fontId="0" fillId="0" borderId="138" xfId="0" applyBorder="1" applyAlignment="1">
      <alignment horizontal="center"/>
    </xf>
    <xf numFmtId="0" fontId="0" fillId="0" borderId="139" xfId="0" applyBorder="1" applyAlignment="1">
      <alignment horizontal="center"/>
    </xf>
    <xf numFmtId="0" fontId="0" fillId="0" borderId="140" xfId="0" applyBorder="1" applyAlignment="1">
      <alignment horizontal="center"/>
    </xf>
    <xf numFmtId="0" fontId="0" fillId="0" borderId="141" xfId="0" applyBorder="1" applyAlignment="1">
      <alignment horizontal="center"/>
    </xf>
    <xf numFmtId="0" fontId="0" fillId="0" borderId="142" xfId="0" applyBorder="1" applyAlignment="1">
      <alignment horizontal="center"/>
    </xf>
    <xf numFmtId="0" fontId="0" fillId="0" borderId="136" xfId="0" applyBorder="1" applyAlignment="1">
      <alignment horizontal="center"/>
    </xf>
    <xf numFmtId="0" fontId="0" fillId="0" borderId="143" xfId="0" applyBorder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 wrapText="1"/>
    </xf>
    <xf numFmtId="0" fontId="32" fillId="6" borderId="0" xfId="0" applyFont="1" applyFill="1" applyAlignment="1">
      <alignment horizontal="center"/>
    </xf>
    <xf numFmtId="0" fontId="0" fillId="0" borderId="2" xfId="0" applyBorder="1" applyAlignment="1">
      <alignment horizontal="left" wrapText="1"/>
    </xf>
    <xf numFmtId="0" fontId="32" fillId="4" borderId="0" xfId="0" applyFont="1" applyFill="1" applyAlignment="1">
      <alignment horizontal="center"/>
    </xf>
    <xf numFmtId="0" fontId="36" fillId="0" borderId="2" xfId="0" applyFont="1" applyBorder="1" applyAlignment="1">
      <alignment horizontal="left" wrapText="1"/>
    </xf>
    <xf numFmtId="2" fontId="0" fillId="0" borderId="106" xfId="0" applyNumberFormat="1" applyBorder="1" applyAlignment="1">
      <alignment horizontal="center"/>
    </xf>
    <xf numFmtId="2" fontId="0" fillId="0" borderId="135" xfId="0" applyNumberFormat="1" applyBorder="1" applyAlignment="1">
      <alignment horizontal="center"/>
    </xf>
    <xf numFmtId="2" fontId="0" fillId="0" borderId="109" xfId="0" applyNumberFormat="1" applyBorder="1" applyAlignment="1">
      <alignment horizontal="center"/>
    </xf>
    <xf numFmtId="2" fontId="103" fillId="0" borderId="132" xfId="0" applyNumberFormat="1" applyFont="1" applyBorder="1" applyAlignment="1">
      <alignment horizontal="center"/>
    </xf>
    <xf numFmtId="2" fontId="103" fillId="0" borderId="133" xfId="0" applyNumberFormat="1" applyFont="1" applyBorder="1" applyAlignment="1">
      <alignment horizontal="center"/>
    </xf>
    <xf numFmtId="2" fontId="103" fillId="0" borderId="134" xfId="0" applyNumberFormat="1" applyFont="1" applyBorder="1" applyAlignment="1">
      <alignment horizontal="center"/>
    </xf>
    <xf numFmtId="2" fontId="0" fillId="0" borderId="132" xfId="0" applyNumberFormat="1" applyBorder="1" applyAlignment="1">
      <alignment horizontal="center"/>
    </xf>
    <xf numFmtId="2" fontId="0" fillId="0" borderId="134" xfId="0" applyNumberFormat="1" applyBorder="1" applyAlignment="1">
      <alignment horizontal="center"/>
    </xf>
    <xf numFmtId="0" fontId="45" fillId="0" borderId="8" xfId="0" applyFont="1" applyBorder="1" applyAlignment="1">
      <alignment horizontal="center" vertical="center" wrapText="1"/>
    </xf>
    <xf numFmtId="0" fontId="36" fillId="4" borderId="11" xfId="0" applyFont="1" applyFill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43" fontId="0" fillId="0" borderId="0" xfId="1" applyFont="1" applyFill="1" applyBorder="1" applyAlignment="1" applyProtection="1">
      <alignment horizontal="center"/>
    </xf>
    <xf numFmtId="0" fontId="45" fillId="0" borderId="8" xfId="0" applyFont="1" applyBorder="1" applyAlignment="1">
      <alignment horizontal="center" wrapText="1"/>
    </xf>
    <xf numFmtId="0" fontId="42" fillId="0" borderId="0" xfId="0" applyFont="1" applyAlignment="1">
      <alignment horizontal="center"/>
    </xf>
    <xf numFmtId="0" fontId="43" fillId="4" borderId="5" xfId="0" applyFont="1" applyFill="1" applyBorder="1" applyAlignment="1">
      <alignment horizontal="center"/>
    </xf>
    <xf numFmtId="43" fontId="43" fillId="0" borderId="18" xfId="1" applyFont="1" applyFill="1" applyBorder="1" applyAlignment="1" applyProtection="1">
      <alignment horizontal="left" indent="1"/>
    </xf>
    <xf numFmtId="0" fontId="49" fillId="0" borderId="0" xfId="0" applyFont="1" applyAlignment="1">
      <alignment horizontal="center"/>
    </xf>
    <xf numFmtId="43" fontId="32" fillId="4" borderId="5" xfId="1" applyFont="1" applyFill="1" applyBorder="1" applyAlignment="1" applyProtection="1">
      <alignment horizontal="center"/>
    </xf>
    <xf numFmtId="43" fontId="0" fillId="0" borderId="22" xfId="1" applyFont="1" applyFill="1" applyBorder="1" applyAlignment="1" applyProtection="1">
      <alignment horizontal="center" wrapText="1"/>
    </xf>
    <xf numFmtId="43" fontId="0" fillId="0" borderId="8" xfId="1" applyFont="1" applyFill="1" applyBorder="1" applyAlignment="1" applyProtection="1">
      <alignment horizontal="center" vertical="center" wrapText="1"/>
    </xf>
    <xf numFmtId="43" fontId="0" fillId="0" borderId="22" xfId="1" applyFont="1" applyFill="1" applyBorder="1" applyAlignment="1" applyProtection="1">
      <alignment horizontal="center" vertical="center" wrapText="1"/>
    </xf>
    <xf numFmtId="43" fontId="50" fillId="30" borderId="11" xfId="1" applyFont="1" applyFill="1" applyBorder="1" applyAlignment="1" applyProtection="1">
      <alignment horizontal="center"/>
    </xf>
    <xf numFmtId="0" fontId="44" fillId="4" borderId="14" xfId="0" applyFont="1" applyFill="1" applyBorder="1" applyAlignment="1">
      <alignment horizontal="center"/>
    </xf>
    <xf numFmtId="43" fontId="43" fillId="0" borderId="14" xfId="1" applyFont="1" applyFill="1" applyBorder="1" applyAlignment="1" applyProtection="1">
      <alignment horizontal="left" indent="1"/>
    </xf>
    <xf numFmtId="0" fontId="0" fillId="0" borderId="5" xfId="0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0" fillId="4" borderId="11" xfId="0" applyFont="1" applyFill="1" applyBorder="1" applyAlignment="1">
      <alignment horizontal="center"/>
    </xf>
    <xf numFmtId="43" fontId="43" fillId="0" borderId="0" xfId="1" applyFont="1" applyFill="1" applyBorder="1" applyAlignment="1" applyProtection="1">
      <alignment horizontal="center"/>
    </xf>
    <xf numFmtId="0" fontId="32" fillId="4" borderId="27" xfId="0" applyFont="1" applyFill="1" applyBorder="1" applyAlignment="1">
      <alignment horizontal="center"/>
    </xf>
    <xf numFmtId="0" fontId="32" fillId="4" borderId="5" xfId="0" applyFont="1" applyFill="1" applyBorder="1" applyAlignment="1">
      <alignment horizontal="center"/>
    </xf>
    <xf numFmtId="0" fontId="51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0" fillId="0" borderId="48" xfId="0" applyBorder="1" applyAlignment="1">
      <alignment horizontal="center"/>
    </xf>
    <xf numFmtId="166" fontId="0" fillId="0" borderId="0" xfId="5" applyFont="1" applyFill="1" applyBorder="1" applyAlignment="1" applyProtection="1">
      <alignment horizontal="center"/>
    </xf>
    <xf numFmtId="0" fontId="0" fillId="4" borderId="1" xfId="0" applyFill="1" applyBorder="1" applyAlignment="1">
      <alignment horizontal="center"/>
    </xf>
    <xf numFmtId="0" fontId="32" fillId="4" borderId="47" xfId="0" applyFont="1" applyFill="1" applyBorder="1" applyAlignment="1">
      <alignment horizontal="center"/>
    </xf>
    <xf numFmtId="166" fontId="0" fillId="0" borderId="1" xfId="5" applyFont="1" applyFill="1" applyBorder="1" applyAlignment="1" applyProtection="1">
      <alignment horizontal="center"/>
    </xf>
    <xf numFmtId="0" fontId="32" fillId="4" borderId="1" xfId="0" applyFont="1" applyFill="1" applyBorder="1" applyAlignment="1">
      <alignment horizontal="center"/>
    </xf>
    <xf numFmtId="0" fontId="100" fillId="11" borderId="82" xfId="0" applyFont="1" applyFill="1" applyBorder="1" applyAlignment="1">
      <alignment horizontal="left" vertical="center" wrapText="1"/>
    </xf>
    <xf numFmtId="0" fontId="100" fillId="11" borderId="83" xfId="0" applyFont="1" applyFill="1" applyBorder="1" applyAlignment="1">
      <alignment horizontal="left" vertical="center" wrapText="1"/>
    </xf>
    <xf numFmtId="0" fontId="100" fillId="11" borderId="54" xfId="0" applyFont="1" applyFill="1" applyBorder="1" applyAlignment="1">
      <alignment horizontal="left" vertical="center" wrapText="1"/>
    </xf>
    <xf numFmtId="0" fontId="100" fillId="11" borderId="76" xfId="0" applyFont="1" applyFill="1" applyBorder="1" applyAlignment="1">
      <alignment horizontal="center" vertical="center" wrapText="1"/>
    </xf>
    <xf numFmtId="0" fontId="100" fillId="11" borderId="77" xfId="0" applyFont="1" applyFill="1" applyBorder="1" applyAlignment="1">
      <alignment horizontal="center" vertical="center" wrapText="1"/>
    </xf>
    <xf numFmtId="0" fontId="100" fillId="11" borderId="78" xfId="0" applyFont="1" applyFill="1" applyBorder="1" applyAlignment="1">
      <alignment horizontal="center" vertical="center" wrapText="1"/>
    </xf>
    <xf numFmtId="0" fontId="100" fillId="11" borderId="55" xfId="0" applyFont="1" applyFill="1" applyBorder="1" applyAlignment="1">
      <alignment horizontal="center" vertical="center" wrapText="1"/>
    </xf>
    <xf numFmtId="0" fontId="136" fillId="11" borderId="153" xfId="0" applyFont="1" applyFill="1" applyBorder="1" applyAlignment="1">
      <alignment horizontal="center" vertical="center" wrapText="1"/>
    </xf>
    <xf numFmtId="0" fontId="136" fillId="11" borderId="77" xfId="0" applyFont="1" applyFill="1" applyBorder="1" applyAlignment="1">
      <alignment horizontal="center" vertical="center" wrapText="1"/>
    </xf>
    <xf numFmtId="0" fontId="136" fillId="11" borderId="55" xfId="0" applyFont="1" applyFill="1" applyBorder="1" applyAlignment="1">
      <alignment horizontal="center" vertical="center" wrapText="1"/>
    </xf>
    <xf numFmtId="0" fontId="123" fillId="69" borderId="4" xfId="647" applyFont="1" applyFill="1" applyBorder="1" applyAlignment="1">
      <alignment horizontal="center"/>
    </xf>
    <xf numFmtId="0" fontId="123" fillId="69" borderId="4" xfId="647" applyFont="1" applyFill="1" applyBorder="1" applyAlignment="1">
      <alignment horizontal="center" vertical="center"/>
    </xf>
    <xf numFmtId="0" fontId="123" fillId="69" borderId="4" xfId="647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wrapText="1"/>
    </xf>
    <xf numFmtId="0" fontId="0" fillId="0" borderId="52" xfId="0" applyBorder="1" applyAlignment="1">
      <alignment horizontal="center"/>
    </xf>
    <xf numFmtId="0" fontId="110" fillId="0" borderId="0" xfId="0" applyFont="1" applyAlignment="1">
      <alignment horizontal="center"/>
    </xf>
    <xf numFmtId="0" fontId="43" fillId="19" borderId="1" xfId="0" applyFont="1" applyFill="1" applyBorder="1" applyAlignment="1">
      <alignment horizontal="center"/>
    </xf>
    <xf numFmtId="0" fontId="132" fillId="11" borderId="132" xfId="0" applyFont="1" applyFill="1" applyBorder="1" applyAlignment="1">
      <alignment horizontal="center"/>
    </xf>
    <xf numFmtId="0" fontId="132" fillId="11" borderId="133" xfId="0" applyFont="1" applyFill="1" applyBorder="1" applyAlignment="1">
      <alignment horizontal="center"/>
    </xf>
    <xf numFmtId="0" fontId="132" fillId="11" borderId="134" xfId="0" applyFont="1" applyFill="1" applyBorder="1" applyAlignment="1">
      <alignment horizontal="center"/>
    </xf>
    <xf numFmtId="0" fontId="132" fillId="11" borderId="106" xfId="0" applyFont="1" applyFill="1" applyBorder="1" applyAlignment="1">
      <alignment horizontal="center"/>
    </xf>
    <xf numFmtId="0" fontId="132" fillId="11" borderId="109" xfId="0" applyFont="1" applyFill="1" applyBorder="1" applyAlignment="1">
      <alignment horizontal="center"/>
    </xf>
    <xf numFmtId="0" fontId="45" fillId="0" borderId="75" xfId="0" applyFont="1" applyBorder="1" applyAlignment="1">
      <alignment vertical="center"/>
    </xf>
    <xf numFmtId="0" fontId="45" fillId="0" borderId="72" xfId="0" applyFont="1" applyBorder="1" applyAlignment="1">
      <alignment vertical="center"/>
    </xf>
    <xf numFmtId="166" fontId="33" fillId="0" borderId="75" xfId="5" applyBorder="1" applyAlignment="1">
      <alignment horizontal="center" vertical="center"/>
    </xf>
    <xf numFmtId="166" fontId="33" fillId="0" borderId="72" xfId="5" applyBorder="1" applyAlignment="1">
      <alignment horizontal="center" vertical="center"/>
    </xf>
    <xf numFmtId="2" fontId="1" fillId="0" borderId="4" xfId="647" applyNumberFormat="1" applyBorder="1"/>
  </cellXfs>
  <cellStyles count="650">
    <cellStyle name="20% - Énfasis1" xfId="40" builtinId="30" customBuiltin="1"/>
    <cellStyle name="20% - Énfasis1 10" xfId="254" xr:uid="{D6A200DD-655D-4537-ABE2-FA51361A84C5}"/>
    <cellStyle name="20% - Énfasis1 10 2" xfId="560" xr:uid="{BCF94EC9-F6B7-40DB-8F4E-92B48D85317A}"/>
    <cellStyle name="20% - Énfasis1 11" xfId="275" xr:uid="{FA33BAE8-7DB1-4E9B-A0E9-23E1E73E8917}"/>
    <cellStyle name="20% - Énfasis1 11 2" xfId="581" xr:uid="{78F0F270-2B74-4086-ACA9-B9F6F1130AB9}"/>
    <cellStyle name="20% - Énfasis1 12" xfId="298" xr:uid="{F5744C91-A340-4585-88F0-23FE72925FD1}"/>
    <cellStyle name="20% - Énfasis1 12 2" xfId="604" xr:uid="{B0038258-85DC-4F84-B898-7203C1971B44}"/>
    <cellStyle name="20% - Énfasis1 13" xfId="320" xr:uid="{D4CF6E1A-75BB-41EC-B427-7A7EE5951CA9}"/>
    <cellStyle name="20% - Énfasis1 13 2" xfId="626" xr:uid="{53CF4C13-0671-43C4-BC69-A9C7520E3CF5}"/>
    <cellStyle name="20% - Énfasis1 14" xfId="356" xr:uid="{7FDE1097-3145-4BF3-9BEF-753693E8EBCA}"/>
    <cellStyle name="20% - Énfasis1 2" xfId="77" xr:uid="{1D2A1886-F768-4759-911E-01323C494A2A}"/>
    <cellStyle name="20% - Énfasis1 2 2" xfId="384" xr:uid="{C8F509CA-7378-4DE5-AF2E-C2DB4686FA42}"/>
    <cellStyle name="20% - Énfasis1 3" xfId="98" xr:uid="{5077E9B4-2D97-488D-BD3A-C36A8D41C24F}"/>
    <cellStyle name="20% - Énfasis1 3 2" xfId="405" xr:uid="{98BC4EEC-01B6-44EE-BBAB-54CC9D26BFC3}"/>
    <cellStyle name="20% - Énfasis1 4" xfId="120" xr:uid="{2ABDC784-0A04-4543-9BB9-1C58C9947759}"/>
    <cellStyle name="20% - Énfasis1 4 2" xfId="427" xr:uid="{71F5D9DC-1977-47BA-803F-EDF6E833FDD5}"/>
    <cellStyle name="20% - Énfasis1 5" xfId="141" xr:uid="{8791D1CF-CB11-4ABD-8DEA-A2AB2E3DEDB7}"/>
    <cellStyle name="20% - Énfasis1 5 2" xfId="448" xr:uid="{6C862B5B-BA01-452B-B662-9B1EACB18987}"/>
    <cellStyle name="20% - Énfasis1 6" xfId="162" xr:uid="{E36D02D9-F374-4EBC-9391-20B30CF4BE01}"/>
    <cellStyle name="20% - Énfasis1 6 2" xfId="469" xr:uid="{CB1C6E89-3A91-4066-B69A-C4695255D319}"/>
    <cellStyle name="20% - Énfasis1 7" xfId="186" xr:uid="{6A1BEF6C-26A8-4BD1-ACA2-525549C07E6E}"/>
    <cellStyle name="20% - Énfasis1 7 2" xfId="493" xr:uid="{A7202032-E42C-45FC-A738-4A3531C3C6A2}"/>
    <cellStyle name="20% - Énfasis1 8" xfId="206" xr:uid="{687AD2C7-496B-499B-8BD6-6379D1C80C56}"/>
    <cellStyle name="20% - Énfasis1 8 2" xfId="513" xr:uid="{707E3FFB-F14A-4995-AE7E-27621FD795A7}"/>
    <cellStyle name="20% - Énfasis1 9" xfId="233" xr:uid="{FE8F8DA6-ED86-440E-A610-4542BA1D680D}"/>
    <cellStyle name="20% - Énfasis1 9 2" xfId="539" xr:uid="{F12F9893-146F-4A45-BD8B-E6C93A63A6B2}"/>
    <cellStyle name="20% - Énfasis2" xfId="44" builtinId="34" customBuiltin="1"/>
    <cellStyle name="20% - Énfasis2 10" xfId="257" xr:uid="{9F64DE35-3536-400A-BFCA-AADBB9662C2F}"/>
    <cellStyle name="20% - Énfasis2 10 2" xfId="563" xr:uid="{D91F5140-5C36-4B93-9D71-4DE454D31587}"/>
    <cellStyle name="20% - Énfasis2 11" xfId="278" xr:uid="{38BB5DB7-07EB-4EF5-863E-174EE13F6B16}"/>
    <cellStyle name="20% - Énfasis2 11 2" xfId="584" xr:uid="{2D8B3B26-AC0E-42D3-9954-15C1C00A9401}"/>
    <cellStyle name="20% - Énfasis2 12" xfId="301" xr:uid="{8D61AEEC-C3F8-4289-8F14-1DAABD7AEEE4}"/>
    <cellStyle name="20% - Énfasis2 12 2" xfId="607" xr:uid="{0BC005F5-E312-4104-88F5-996A5899C5CF}"/>
    <cellStyle name="20% - Énfasis2 13" xfId="323" xr:uid="{63E1B261-0C78-45F4-B8E5-CCADF906EEA6}"/>
    <cellStyle name="20% - Énfasis2 13 2" xfId="629" xr:uid="{536D9024-4471-4261-A267-0D899EAA8C79}"/>
    <cellStyle name="20% - Énfasis2 14" xfId="359" xr:uid="{01B73F8B-77D8-47A2-A0CF-BDA69C7E3CEC}"/>
    <cellStyle name="20% - Énfasis2 2" xfId="80" xr:uid="{CE82F6D8-F4C0-4992-89F7-8C722BBF3D94}"/>
    <cellStyle name="20% - Énfasis2 2 2" xfId="387" xr:uid="{023146F0-12AA-4AEC-AB32-5BCEA413DC79}"/>
    <cellStyle name="20% - Énfasis2 3" xfId="101" xr:uid="{662984BE-B225-4D45-A269-5F4F64B77D14}"/>
    <cellStyle name="20% - Énfasis2 3 2" xfId="408" xr:uid="{04D7933E-6FF5-4E31-8B44-BBF83F7438E9}"/>
    <cellStyle name="20% - Énfasis2 4" xfId="123" xr:uid="{92FACF6B-5949-45A2-B4CC-F9AF4D9E5147}"/>
    <cellStyle name="20% - Énfasis2 4 2" xfId="430" xr:uid="{8AF8EFD1-51D7-4569-9B2C-597FE865858D}"/>
    <cellStyle name="20% - Énfasis2 5" xfId="144" xr:uid="{87F542BA-2644-45F7-A202-A42B48CBFEF5}"/>
    <cellStyle name="20% - Énfasis2 5 2" xfId="451" xr:uid="{0F94897B-7257-4880-A10C-E56F145101BF}"/>
    <cellStyle name="20% - Énfasis2 6" xfId="165" xr:uid="{B7265824-075F-4BB4-AEBD-957E579CDDEC}"/>
    <cellStyle name="20% - Énfasis2 6 2" xfId="472" xr:uid="{DCE29D98-F34D-43E7-8EC4-3DC8258F6945}"/>
    <cellStyle name="20% - Énfasis2 7" xfId="189" xr:uid="{1C8E545B-D739-4CB9-98DA-08C6FCFC7042}"/>
    <cellStyle name="20% - Énfasis2 7 2" xfId="496" xr:uid="{67FE6158-2511-4DB8-889D-571381A4A552}"/>
    <cellStyle name="20% - Énfasis2 8" xfId="209" xr:uid="{E58C4B80-1C56-4A05-B98D-F1ED20322C30}"/>
    <cellStyle name="20% - Énfasis2 8 2" xfId="516" xr:uid="{904E590B-3E60-4D3D-92AC-B24DA3787944}"/>
    <cellStyle name="20% - Énfasis2 9" xfId="236" xr:uid="{B88ACB25-D3E0-4379-A838-62FB1BD4A5BA}"/>
    <cellStyle name="20% - Énfasis2 9 2" xfId="542" xr:uid="{B8BDC057-5311-4A6F-9CE6-D58818FA5397}"/>
    <cellStyle name="20% - Énfasis3" xfId="48" builtinId="38" customBuiltin="1"/>
    <cellStyle name="20% - Énfasis3 10" xfId="260" xr:uid="{65F836A2-8AE5-4DEA-9E0E-FE44E23540DD}"/>
    <cellStyle name="20% - Énfasis3 10 2" xfId="566" xr:uid="{5AE59969-7122-4030-9660-798F49EABDDF}"/>
    <cellStyle name="20% - Énfasis3 11" xfId="281" xr:uid="{166DC032-4B37-4443-B5E1-C9AFF3F93D70}"/>
    <cellStyle name="20% - Énfasis3 11 2" xfId="587" xr:uid="{35DD80FA-FF1B-4EBB-8CE7-32DF46965B88}"/>
    <cellStyle name="20% - Énfasis3 12" xfId="304" xr:uid="{BD65AC2C-0123-41D9-B7E0-4123F54C82FB}"/>
    <cellStyle name="20% - Énfasis3 12 2" xfId="610" xr:uid="{976986F4-A803-400D-97BA-737A40459823}"/>
    <cellStyle name="20% - Énfasis3 13" xfId="326" xr:uid="{E4DED2F2-F655-4227-98E4-F4E474EC12E2}"/>
    <cellStyle name="20% - Énfasis3 13 2" xfId="632" xr:uid="{087FCBB5-F73C-4B91-A3F6-C11B835CECAD}"/>
    <cellStyle name="20% - Énfasis3 14" xfId="362" xr:uid="{678EB5E5-40DB-4A54-BB99-03BA1926FB87}"/>
    <cellStyle name="20% - Énfasis3 2" xfId="83" xr:uid="{E0A62077-5DEF-44F2-9F6F-40D573C3DD1A}"/>
    <cellStyle name="20% - Énfasis3 2 2" xfId="390" xr:uid="{F98F7FD1-A4D3-4027-863C-CE8C3FDFC3AE}"/>
    <cellStyle name="20% - Énfasis3 3" xfId="104" xr:uid="{E0C55BF9-E229-4D05-ACA1-07A548870841}"/>
    <cellStyle name="20% - Énfasis3 3 2" xfId="411" xr:uid="{044E7C39-78FD-444D-8285-24144EABBAFB}"/>
    <cellStyle name="20% - Énfasis3 4" xfId="126" xr:uid="{1F54B0B1-CBE6-473D-9C8B-3D0E09BBDA6D}"/>
    <cellStyle name="20% - Énfasis3 4 2" xfId="433" xr:uid="{B7B3E1E2-B793-4599-B453-91E299C8B387}"/>
    <cellStyle name="20% - Énfasis3 5" xfId="147" xr:uid="{538831EF-988C-406D-8203-C9DF25E9B3A9}"/>
    <cellStyle name="20% - Énfasis3 5 2" xfId="454" xr:uid="{58A102B6-A988-4C9E-B386-84772172A826}"/>
    <cellStyle name="20% - Énfasis3 6" xfId="168" xr:uid="{62B653FC-5B24-4B8F-9245-8C09D2D59840}"/>
    <cellStyle name="20% - Énfasis3 6 2" xfId="475" xr:uid="{A95AFFD2-7473-4934-A4FA-B055715F2428}"/>
    <cellStyle name="20% - Énfasis3 7" xfId="192" xr:uid="{7EA94565-4F95-4383-9977-7D17177372A9}"/>
    <cellStyle name="20% - Énfasis3 7 2" xfId="499" xr:uid="{A0C7B8BF-CB70-4840-88FD-C08C7B8193C6}"/>
    <cellStyle name="20% - Énfasis3 8" xfId="212" xr:uid="{C5562B24-DDD8-4F59-8B8D-9B641F32FFF0}"/>
    <cellStyle name="20% - Énfasis3 8 2" xfId="519" xr:uid="{028670C0-D61F-44D7-90E7-403742B54C14}"/>
    <cellStyle name="20% - Énfasis3 9" xfId="239" xr:uid="{F356610F-A8B5-4A34-9B9A-54AF93FFB0A0}"/>
    <cellStyle name="20% - Énfasis3 9 2" xfId="545" xr:uid="{AC09B895-83EE-4AFB-A39E-7730B6B97AEB}"/>
    <cellStyle name="20% - Énfasis4" xfId="52" builtinId="42" customBuiltin="1"/>
    <cellStyle name="20% - Énfasis4 10" xfId="263" xr:uid="{F494DF5B-174A-4A84-B671-D456F47BA9A6}"/>
    <cellStyle name="20% - Énfasis4 10 2" xfId="569" xr:uid="{01A01109-3EDC-4111-85B8-C637B6A636A3}"/>
    <cellStyle name="20% - Énfasis4 11" xfId="284" xr:uid="{0B2A1654-C089-4E9E-BD00-C83DFEE4092D}"/>
    <cellStyle name="20% - Énfasis4 11 2" xfId="590" xr:uid="{324E4EFC-CDDB-4326-BB58-AEF69CF6A760}"/>
    <cellStyle name="20% - Énfasis4 12" xfId="307" xr:uid="{5C73024E-16B8-4C56-BA92-C577EC0D9032}"/>
    <cellStyle name="20% - Énfasis4 12 2" xfId="613" xr:uid="{D8ED3072-906A-452F-8895-E0DDC554458D}"/>
    <cellStyle name="20% - Énfasis4 13" xfId="329" xr:uid="{9C78AF7B-E128-4CD5-ADB3-2213F779B515}"/>
    <cellStyle name="20% - Énfasis4 13 2" xfId="635" xr:uid="{916A0FB8-D58C-496E-A19E-776D7369C133}"/>
    <cellStyle name="20% - Énfasis4 14" xfId="365" xr:uid="{EFC6107B-9CE9-476E-B959-C5BE2B0FD266}"/>
    <cellStyle name="20% - Énfasis4 2" xfId="86" xr:uid="{98A2BB2A-57A1-4A7A-96E5-5C2E64A88441}"/>
    <cellStyle name="20% - Énfasis4 2 2" xfId="393" xr:uid="{4B6D8556-28C8-4117-8064-E7CCD3FBB692}"/>
    <cellStyle name="20% - Énfasis4 3" xfId="107" xr:uid="{BA9A812F-2BF0-4D4A-AAC7-4B84CADCE8CB}"/>
    <cellStyle name="20% - Énfasis4 3 2" xfId="414" xr:uid="{DDF57518-D2FE-4CA0-99FA-228EFDB68D24}"/>
    <cellStyle name="20% - Énfasis4 4" xfId="129" xr:uid="{BDB6BE36-4784-441F-A2E8-5BA697082154}"/>
    <cellStyle name="20% - Énfasis4 4 2" xfId="436" xr:uid="{4D32C0FC-5A27-46CE-B4AA-4C3E645F5F42}"/>
    <cellStyle name="20% - Énfasis4 5" xfId="150" xr:uid="{7BD526A1-6ACD-443E-872D-73C71D1C3490}"/>
    <cellStyle name="20% - Énfasis4 5 2" xfId="457" xr:uid="{31D56EBE-383B-4280-9587-8172B96E861C}"/>
    <cellStyle name="20% - Énfasis4 6" xfId="171" xr:uid="{5C31B506-D783-43BB-9BB0-26C73AA6E07F}"/>
    <cellStyle name="20% - Énfasis4 6 2" xfId="478" xr:uid="{E5322166-75C8-43B7-BC9B-1BD3D69A7806}"/>
    <cellStyle name="20% - Énfasis4 7" xfId="195" xr:uid="{0A77D7F7-0A5C-4690-8524-572C1BDD65F9}"/>
    <cellStyle name="20% - Énfasis4 7 2" xfId="502" xr:uid="{0F8F5D13-7E17-451B-8568-1E89637399B1}"/>
    <cellStyle name="20% - Énfasis4 8" xfId="215" xr:uid="{DB2DD2F2-1D75-412F-96E4-143B7CDC4E3E}"/>
    <cellStyle name="20% - Énfasis4 8 2" xfId="522" xr:uid="{231D1FA1-3D25-4719-824B-EB3B2C17F01A}"/>
    <cellStyle name="20% - Énfasis4 9" xfId="242" xr:uid="{01AE4D86-7BDD-4E8A-8FED-558B6003C999}"/>
    <cellStyle name="20% - Énfasis4 9 2" xfId="548" xr:uid="{3D089FD3-DC0E-4DB7-85BC-E1A9D612CF92}"/>
    <cellStyle name="20% - Énfasis5" xfId="56" builtinId="46" customBuiltin="1"/>
    <cellStyle name="20% - Énfasis5 10" xfId="266" xr:uid="{D3C38DE8-D58A-4623-AF30-D4889078D50F}"/>
    <cellStyle name="20% - Énfasis5 10 2" xfId="572" xr:uid="{8512AD9E-A23C-4EAF-A749-8165D00C4C52}"/>
    <cellStyle name="20% - Énfasis5 11" xfId="287" xr:uid="{49E35621-8E9E-4B7D-BA72-24E4C4063EFC}"/>
    <cellStyle name="20% - Énfasis5 11 2" xfId="593" xr:uid="{49EA313A-2D41-4C97-A520-8E525F3E224E}"/>
    <cellStyle name="20% - Énfasis5 12" xfId="310" xr:uid="{CBBB515E-467C-4D12-8F63-32478E892427}"/>
    <cellStyle name="20% - Énfasis5 12 2" xfId="616" xr:uid="{970CE737-37DB-4BE9-8DB0-2E2F4534BE9D}"/>
    <cellStyle name="20% - Énfasis5 13" xfId="332" xr:uid="{86649FDE-0516-4812-BB79-F193C771635E}"/>
    <cellStyle name="20% - Énfasis5 13 2" xfId="638" xr:uid="{1BEA8F04-4A60-461B-85D4-39B3D7BC559E}"/>
    <cellStyle name="20% - Énfasis5 14" xfId="368" xr:uid="{41364576-B567-4C47-B12A-575E0933B003}"/>
    <cellStyle name="20% - Énfasis5 2" xfId="89" xr:uid="{86BF980A-F86F-4698-8DAD-D360C2FE7ACB}"/>
    <cellStyle name="20% - Énfasis5 2 2" xfId="396" xr:uid="{51305F2B-601A-491E-B70E-394EF00F48CE}"/>
    <cellStyle name="20% - Énfasis5 3" xfId="110" xr:uid="{3FEC85FE-1184-4074-A51B-71032D7EDF8B}"/>
    <cellStyle name="20% - Énfasis5 3 2" xfId="417" xr:uid="{3A2553EC-6A80-453E-BD4D-2E177E78553C}"/>
    <cellStyle name="20% - Énfasis5 4" xfId="132" xr:uid="{94AC78EB-2575-4E54-8124-8F053EA5C3A4}"/>
    <cellStyle name="20% - Énfasis5 4 2" xfId="439" xr:uid="{4D8A7446-2DE1-41C1-8C0F-E34685534BBA}"/>
    <cellStyle name="20% - Énfasis5 5" xfId="153" xr:uid="{49C7F064-6107-4EF3-84D4-1D6CB263CF2D}"/>
    <cellStyle name="20% - Énfasis5 5 2" xfId="460" xr:uid="{E2AFEB39-6B11-4104-9917-F88107650B6A}"/>
    <cellStyle name="20% - Énfasis5 6" xfId="174" xr:uid="{F8015FC7-BD05-4F13-ADC8-712017AFD988}"/>
    <cellStyle name="20% - Énfasis5 6 2" xfId="481" xr:uid="{E7DF04F8-4282-415E-B593-D47BEF4297FB}"/>
    <cellStyle name="20% - Énfasis5 7" xfId="198" xr:uid="{0738FFE9-802F-47D2-A8BB-A9CB4F26D04C}"/>
    <cellStyle name="20% - Énfasis5 7 2" xfId="505" xr:uid="{1F80170F-0DBB-4BBC-BC3A-02F9DF5A3380}"/>
    <cellStyle name="20% - Énfasis5 8" xfId="218" xr:uid="{BDC9402F-F209-4906-89F6-C21D031BF249}"/>
    <cellStyle name="20% - Énfasis5 8 2" xfId="525" xr:uid="{AAA8A2F2-9D41-4A06-A670-0A48F44F6AD0}"/>
    <cellStyle name="20% - Énfasis5 9" xfId="245" xr:uid="{8076E294-47E2-4742-8854-9819A65D29B6}"/>
    <cellStyle name="20% - Énfasis5 9 2" xfId="551" xr:uid="{DA06E3B3-D697-4AB7-940C-D7FF6D7941CD}"/>
    <cellStyle name="20% - Énfasis6" xfId="60" builtinId="50" customBuiltin="1"/>
    <cellStyle name="20% - Énfasis6 10" xfId="269" xr:uid="{3E58D501-1D17-4319-96F7-339A4ADA117C}"/>
    <cellStyle name="20% - Énfasis6 10 2" xfId="575" xr:uid="{87720E52-752C-471E-8F0E-F8AFF928E82E}"/>
    <cellStyle name="20% - Énfasis6 11" xfId="290" xr:uid="{20B43704-4019-4243-9D40-3D048328E991}"/>
    <cellStyle name="20% - Énfasis6 11 2" xfId="596" xr:uid="{88CB8593-D1E0-4B9F-9C56-F59E3E624282}"/>
    <cellStyle name="20% - Énfasis6 12" xfId="313" xr:uid="{5D2ACEC6-CA2B-4967-A9EA-A08D26267D05}"/>
    <cellStyle name="20% - Énfasis6 12 2" xfId="619" xr:uid="{FAC49025-A26A-479C-B283-7B532D0CFA53}"/>
    <cellStyle name="20% - Énfasis6 13" xfId="335" xr:uid="{DBA13315-1A06-4569-A7C5-DA3D36CFF587}"/>
    <cellStyle name="20% - Énfasis6 13 2" xfId="641" xr:uid="{1B204908-CB03-46AB-A393-CFFF67A61DA0}"/>
    <cellStyle name="20% - Énfasis6 14" xfId="371" xr:uid="{4DE54C98-AE05-4723-B6F6-CEADB50D31F2}"/>
    <cellStyle name="20% - Énfasis6 2" xfId="92" xr:uid="{198D7DD3-162B-4B00-ABE6-2506B2EFF452}"/>
    <cellStyle name="20% - Énfasis6 2 2" xfId="399" xr:uid="{D14BB19D-E5AD-4E99-8B50-C204163F6C97}"/>
    <cellStyle name="20% - Énfasis6 3" xfId="113" xr:uid="{982EC1D5-D56E-4919-A797-DBBE8C202D2F}"/>
    <cellStyle name="20% - Énfasis6 3 2" xfId="420" xr:uid="{B622DC96-CFE5-484A-86B7-708F840A290A}"/>
    <cellStyle name="20% - Énfasis6 4" xfId="135" xr:uid="{FC88B0D8-122C-4AC5-973D-CF006FC5FEFE}"/>
    <cellStyle name="20% - Énfasis6 4 2" xfId="442" xr:uid="{E92D8B8D-4B7C-4B8D-8B3C-0BE2A7F7FA33}"/>
    <cellStyle name="20% - Énfasis6 5" xfId="156" xr:uid="{EF29F9A1-0F06-4E84-94F4-498621229A55}"/>
    <cellStyle name="20% - Énfasis6 5 2" xfId="463" xr:uid="{0FADAD70-E120-4A4A-B493-DF40FB1CB35A}"/>
    <cellStyle name="20% - Énfasis6 6" xfId="177" xr:uid="{531448F7-457E-4446-8FFB-A8BB6DEBF33F}"/>
    <cellStyle name="20% - Énfasis6 6 2" xfId="484" xr:uid="{67F787D8-38F9-4775-887E-DB405B2C1E96}"/>
    <cellStyle name="20% - Énfasis6 7" xfId="201" xr:uid="{A88EF029-F7F1-46A2-B5D3-37F2DC84EAC6}"/>
    <cellStyle name="20% - Énfasis6 7 2" xfId="508" xr:uid="{BA088A11-10C9-4D00-BA8F-8FB1A697EF4E}"/>
    <cellStyle name="20% - Énfasis6 8" xfId="221" xr:uid="{198413F7-71D6-44B5-A12C-623AACF77E0C}"/>
    <cellStyle name="20% - Énfasis6 8 2" xfId="528" xr:uid="{1A70F631-D19A-4A88-9998-10348EB45E58}"/>
    <cellStyle name="20% - Énfasis6 9" xfId="248" xr:uid="{66F7341D-A6CE-40EB-8265-BF831E91F0F5}"/>
    <cellStyle name="20% - Énfasis6 9 2" xfId="554" xr:uid="{11FBDEEE-74A2-4904-951B-7DAA712FA50C}"/>
    <cellStyle name="40% - Énfasis1" xfId="41" builtinId="31" customBuiltin="1"/>
    <cellStyle name="40% - Énfasis1 10" xfId="255" xr:uid="{A6289F74-851A-4C22-8F97-9D3C5481A5AE}"/>
    <cellStyle name="40% - Énfasis1 10 2" xfId="561" xr:uid="{D9EA6287-A1AA-4E3A-8E25-0E814A612EEC}"/>
    <cellStyle name="40% - Énfasis1 11" xfId="276" xr:uid="{841E5CD7-582E-4502-9941-0C7EDF8C558B}"/>
    <cellStyle name="40% - Énfasis1 11 2" xfId="582" xr:uid="{29A5D55F-4F0D-4C23-A7A2-F160D6C9AAC7}"/>
    <cellStyle name="40% - Énfasis1 12" xfId="299" xr:uid="{60C70F26-A677-4E72-AE60-D89BD22025C4}"/>
    <cellStyle name="40% - Énfasis1 12 2" xfId="605" xr:uid="{E9D085BA-FEFA-447F-8D48-80EA49E0A9DF}"/>
    <cellStyle name="40% - Énfasis1 13" xfId="321" xr:uid="{2B953EBF-5829-419C-B243-C656099C1800}"/>
    <cellStyle name="40% - Énfasis1 13 2" xfId="627" xr:uid="{B41EB9EA-AEC8-48C1-8F4D-629AAF75C8D0}"/>
    <cellStyle name="40% - Énfasis1 14" xfId="357" xr:uid="{AA51B432-3B35-4D49-9663-1CAB2DA3F7DD}"/>
    <cellStyle name="40% - Énfasis1 2" xfId="78" xr:uid="{B7CF1C9F-A23D-4310-9FBB-D956EE78E312}"/>
    <cellStyle name="40% - Énfasis1 2 2" xfId="385" xr:uid="{108C632B-9603-4006-A656-C72DAAF69C06}"/>
    <cellStyle name="40% - Énfasis1 3" xfId="99" xr:uid="{A7CC4DA8-8FFC-43CC-8ED1-80FAE4A1C9FF}"/>
    <cellStyle name="40% - Énfasis1 3 2" xfId="406" xr:uid="{EA2D4783-757D-4725-BB00-2B9B3B322C03}"/>
    <cellStyle name="40% - Énfasis1 4" xfId="121" xr:uid="{C84F0504-A49D-4809-917A-240F3D992DED}"/>
    <cellStyle name="40% - Énfasis1 4 2" xfId="428" xr:uid="{2A07B971-27CE-4721-8C05-E7E81B1B2F04}"/>
    <cellStyle name="40% - Énfasis1 5" xfId="142" xr:uid="{01C4A29F-174B-4436-ACC1-E449EF07B31F}"/>
    <cellStyle name="40% - Énfasis1 5 2" xfId="449" xr:uid="{01E90C68-39A2-45BF-AD6A-67FC14DAB3A0}"/>
    <cellStyle name="40% - Énfasis1 6" xfId="163" xr:uid="{69658AD6-4FF2-4F35-B64B-2C539127F529}"/>
    <cellStyle name="40% - Énfasis1 6 2" xfId="470" xr:uid="{8A9F7445-BBD8-4322-A575-10A5BE371AF7}"/>
    <cellStyle name="40% - Énfasis1 7" xfId="187" xr:uid="{6D99FC55-C6D0-4AB0-9456-B80979E350FA}"/>
    <cellStyle name="40% - Énfasis1 7 2" xfId="494" xr:uid="{FA9BFE54-3394-40F6-81D5-67567FDFF1E2}"/>
    <cellStyle name="40% - Énfasis1 8" xfId="207" xr:uid="{A5BBCD79-7A82-430D-B24F-51850569027A}"/>
    <cellStyle name="40% - Énfasis1 8 2" xfId="514" xr:uid="{E19BAE97-22F0-4F9F-A611-6BBE3BFA357A}"/>
    <cellStyle name="40% - Énfasis1 9" xfId="234" xr:uid="{88AD97B3-D665-4609-9980-8FCFAC4319D2}"/>
    <cellStyle name="40% - Énfasis1 9 2" xfId="540" xr:uid="{6D98B5E2-C4BA-41A9-8EBA-9691AC2CE9A7}"/>
    <cellStyle name="40% - Énfasis2" xfId="45" builtinId="35" customBuiltin="1"/>
    <cellStyle name="40% - Énfasis2 10" xfId="258" xr:uid="{923CCB39-E9BA-40CF-96DA-0FED71EEFE7C}"/>
    <cellStyle name="40% - Énfasis2 10 2" xfId="564" xr:uid="{C4097D4B-5DFE-4E10-8562-226C288D77A6}"/>
    <cellStyle name="40% - Énfasis2 11" xfId="279" xr:uid="{7F870BF2-400F-4F26-9CC3-3D4AAACD6C9D}"/>
    <cellStyle name="40% - Énfasis2 11 2" xfId="585" xr:uid="{A73D7D8E-4723-44B9-BE8A-7798AE9276DA}"/>
    <cellStyle name="40% - Énfasis2 12" xfId="302" xr:uid="{2062932E-126F-4A6D-9BA8-037A7CE1F596}"/>
    <cellStyle name="40% - Énfasis2 12 2" xfId="608" xr:uid="{77FD2BE2-546A-4271-9CF6-21C156BF9563}"/>
    <cellStyle name="40% - Énfasis2 13" xfId="324" xr:uid="{CBF18883-B112-478F-8512-6B3DA9A87EE5}"/>
    <cellStyle name="40% - Énfasis2 13 2" xfId="630" xr:uid="{4CB2D1D3-8727-4631-8291-30B232CF9E90}"/>
    <cellStyle name="40% - Énfasis2 14" xfId="360" xr:uid="{C791ED59-CAFA-4084-A58D-D8AEBA5B5B05}"/>
    <cellStyle name="40% - Énfasis2 2" xfId="81" xr:uid="{DEC3E34F-F796-475D-8C13-71EDBBD884FD}"/>
    <cellStyle name="40% - Énfasis2 2 2" xfId="388" xr:uid="{F99E4B3E-564B-4CB8-989A-16172678A7F7}"/>
    <cellStyle name="40% - Énfasis2 3" xfId="102" xr:uid="{86CBD150-4F0C-4564-A73E-4B49EBE5366B}"/>
    <cellStyle name="40% - Énfasis2 3 2" xfId="409" xr:uid="{E9BE1E6D-F25E-4FC2-BEBA-2A1912C28B55}"/>
    <cellStyle name="40% - Énfasis2 4" xfId="124" xr:uid="{6860AA30-8022-493F-9626-857EF6492B0A}"/>
    <cellStyle name="40% - Énfasis2 4 2" xfId="431" xr:uid="{674BC719-DFA8-4375-A3C4-9E245934BB99}"/>
    <cellStyle name="40% - Énfasis2 5" xfId="145" xr:uid="{7FA58D61-2160-49D1-920B-3DBC4CB74252}"/>
    <cellStyle name="40% - Énfasis2 5 2" xfId="452" xr:uid="{5168C202-305C-4998-B252-7A77BFFDDEA3}"/>
    <cellStyle name="40% - Énfasis2 6" xfId="166" xr:uid="{524DF4B3-DE02-47D6-AA81-9E90610A3FD0}"/>
    <cellStyle name="40% - Énfasis2 6 2" xfId="473" xr:uid="{CE40DBEF-D077-4151-9F34-C4569AD663F5}"/>
    <cellStyle name="40% - Énfasis2 7" xfId="190" xr:uid="{556C12EA-6675-41C9-BC2A-DC7A24664ADA}"/>
    <cellStyle name="40% - Énfasis2 7 2" xfId="497" xr:uid="{7A83BEF8-6DA0-4F9C-B152-5AE4983C4CDB}"/>
    <cellStyle name="40% - Énfasis2 8" xfId="210" xr:uid="{7A20264F-2CC3-4068-BAF0-8191DEF8912E}"/>
    <cellStyle name="40% - Énfasis2 8 2" xfId="517" xr:uid="{B82B842B-4134-4F2E-8F21-E56E36D55B36}"/>
    <cellStyle name="40% - Énfasis2 9" xfId="237" xr:uid="{7573268D-8B26-4F5F-8E43-EE4F3781E158}"/>
    <cellStyle name="40% - Énfasis2 9 2" xfId="543" xr:uid="{ABFD4CB4-EAA9-4DFE-BBC8-04CDE0441E8F}"/>
    <cellStyle name="40% - Énfasis3" xfId="49" builtinId="39" customBuiltin="1"/>
    <cellStyle name="40% - Énfasis3 10" xfId="261" xr:uid="{5CF68FFF-F76E-491C-A69C-BE600CF99B26}"/>
    <cellStyle name="40% - Énfasis3 10 2" xfId="567" xr:uid="{82AF535B-495A-4696-8619-D54F46C8F654}"/>
    <cellStyle name="40% - Énfasis3 11" xfId="282" xr:uid="{A1389FDB-AE8C-495F-8336-356957E1DDC2}"/>
    <cellStyle name="40% - Énfasis3 11 2" xfId="588" xr:uid="{3F780A71-BE60-4A26-A796-40826D28D7B6}"/>
    <cellStyle name="40% - Énfasis3 12" xfId="305" xr:uid="{38555C1A-03FD-4D3D-9376-D9932256FCBE}"/>
    <cellStyle name="40% - Énfasis3 12 2" xfId="611" xr:uid="{ABB1D097-73D7-462D-B78C-042633266B9E}"/>
    <cellStyle name="40% - Énfasis3 13" xfId="327" xr:uid="{9167B616-FEA5-41A8-949C-548CB4AAD812}"/>
    <cellStyle name="40% - Énfasis3 13 2" xfId="633" xr:uid="{EF21C8E8-DE5B-4C12-B554-768647AFA256}"/>
    <cellStyle name="40% - Énfasis3 14" xfId="363" xr:uid="{A18C24EB-3A59-4EEE-9DC0-A071F3F9A273}"/>
    <cellStyle name="40% - Énfasis3 2" xfId="84" xr:uid="{46744B33-699C-40BA-9A68-5B1C1779C823}"/>
    <cellStyle name="40% - Énfasis3 2 2" xfId="391" xr:uid="{B8BDCE7B-CAE4-46E0-B205-750C30A7C323}"/>
    <cellStyle name="40% - Énfasis3 3" xfId="105" xr:uid="{0735A307-3DA4-4B3F-A27C-E5A3F4477689}"/>
    <cellStyle name="40% - Énfasis3 3 2" xfId="412" xr:uid="{F5B14540-CCBA-480C-A1A6-5325D5AD25D0}"/>
    <cellStyle name="40% - Énfasis3 4" xfId="127" xr:uid="{9C1EFD77-914D-484C-A301-33637077955D}"/>
    <cellStyle name="40% - Énfasis3 4 2" xfId="434" xr:uid="{8358B46E-98DD-4449-9BC2-0FE537E286DD}"/>
    <cellStyle name="40% - Énfasis3 5" xfId="148" xr:uid="{8A7BB947-53FC-456F-9B5C-28E61AB25545}"/>
    <cellStyle name="40% - Énfasis3 5 2" xfId="455" xr:uid="{36BBB638-0608-425C-BD81-F7EAF3E4E7CA}"/>
    <cellStyle name="40% - Énfasis3 6" xfId="169" xr:uid="{9F28B42C-73C6-4109-83FD-3995714ECC07}"/>
    <cellStyle name="40% - Énfasis3 6 2" xfId="476" xr:uid="{7B30CC85-5823-4D97-8D6B-63F9E436E657}"/>
    <cellStyle name="40% - Énfasis3 7" xfId="193" xr:uid="{052D101B-EB0A-4261-A723-CE9B7482469E}"/>
    <cellStyle name="40% - Énfasis3 7 2" xfId="500" xr:uid="{2B461704-2475-456B-A2FB-3B5773962C47}"/>
    <cellStyle name="40% - Énfasis3 8" xfId="213" xr:uid="{29084476-308E-4FED-92FD-10D054E7B455}"/>
    <cellStyle name="40% - Énfasis3 8 2" xfId="520" xr:uid="{AE9F6D22-9F8B-4844-9B3D-4FA179598C5E}"/>
    <cellStyle name="40% - Énfasis3 9" xfId="240" xr:uid="{EB73D9D5-8928-40F6-BAA2-EB40EFDE893C}"/>
    <cellStyle name="40% - Énfasis3 9 2" xfId="546" xr:uid="{64AE5545-2468-42B6-B179-8EDF41654C0D}"/>
    <cellStyle name="40% - Énfasis4" xfId="53" builtinId="43" customBuiltin="1"/>
    <cellStyle name="40% - Énfasis4 10" xfId="264" xr:uid="{9A47052A-4EAB-4117-8AAB-75B12851E0DD}"/>
    <cellStyle name="40% - Énfasis4 10 2" xfId="570" xr:uid="{AA81FAE9-8597-4A78-A37B-B579C5A600B2}"/>
    <cellStyle name="40% - Énfasis4 11" xfId="285" xr:uid="{DDD84A7C-E00C-4421-8E86-B7C3ADCD5C83}"/>
    <cellStyle name="40% - Énfasis4 11 2" xfId="591" xr:uid="{411B20E0-7B4B-47CC-9612-E1E35ADF657B}"/>
    <cellStyle name="40% - Énfasis4 12" xfId="308" xr:uid="{030F8623-BF98-42A3-A6F4-750DD23AD415}"/>
    <cellStyle name="40% - Énfasis4 12 2" xfId="614" xr:uid="{D1BBEEB5-ADCC-4546-BA7C-D79D0F371BA5}"/>
    <cellStyle name="40% - Énfasis4 13" xfId="330" xr:uid="{47C1F62E-6ABF-46E3-BAAC-0F0824741A84}"/>
    <cellStyle name="40% - Énfasis4 13 2" xfId="636" xr:uid="{C7984DCA-AD47-4677-9C31-047F07989620}"/>
    <cellStyle name="40% - Énfasis4 14" xfId="366" xr:uid="{F4DEADDD-392B-43B6-872D-FE964367D76B}"/>
    <cellStyle name="40% - Énfasis4 2" xfId="87" xr:uid="{E76B51A1-5C21-471C-9067-2557A1950FFD}"/>
    <cellStyle name="40% - Énfasis4 2 2" xfId="394" xr:uid="{601C9A55-1484-4734-B22A-9A5CEEAB344A}"/>
    <cellStyle name="40% - Énfasis4 3" xfId="108" xr:uid="{DAF0924A-1320-4FFB-8667-34ACDC2F1F28}"/>
    <cellStyle name="40% - Énfasis4 3 2" xfId="415" xr:uid="{E7C9055D-FDD6-41FA-BE69-5BA4C3AC5546}"/>
    <cellStyle name="40% - Énfasis4 4" xfId="130" xr:uid="{FD14B9C9-865F-4D56-9E5B-BEA889164421}"/>
    <cellStyle name="40% - Énfasis4 4 2" xfId="437" xr:uid="{76FCE42E-9EDE-4DA7-A638-C62C30099087}"/>
    <cellStyle name="40% - Énfasis4 5" xfId="151" xr:uid="{99692D15-796B-4F61-A532-7371C9D264BE}"/>
    <cellStyle name="40% - Énfasis4 5 2" xfId="458" xr:uid="{517DBE1D-0FB6-48DB-ABC1-B299E9D51016}"/>
    <cellStyle name="40% - Énfasis4 6" xfId="172" xr:uid="{4C497B03-B787-4FDD-B5A7-9207A2A57FA6}"/>
    <cellStyle name="40% - Énfasis4 6 2" xfId="479" xr:uid="{9F206BA6-E26B-4005-B5B5-10B3162A87BF}"/>
    <cellStyle name="40% - Énfasis4 7" xfId="196" xr:uid="{298B1FDA-8B20-4895-9806-3FDC39BAB24B}"/>
    <cellStyle name="40% - Énfasis4 7 2" xfId="503" xr:uid="{4DA7C067-5438-487E-BEE1-CFBEF814D07B}"/>
    <cellStyle name="40% - Énfasis4 8" xfId="216" xr:uid="{28B2A05C-10F7-425B-B0EA-991E86CF2ACD}"/>
    <cellStyle name="40% - Énfasis4 8 2" xfId="523" xr:uid="{97272016-CD57-46FD-A18E-4AB3777E53F5}"/>
    <cellStyle name="40% - Énfasis4 9" xfId="243" xr:uid="{D3FF1BD9-BCEB-4ED4-8CD5-9F7332C8E4DA}"/>
    <cellStyle name="40% - Énfasis4 9 2" xfId="549" xr:uid="{56EA1CFA-CD65-4909-ABEC-980C6F27DE32}"/>
    <cellStyle name="40% - Énfasis5" xfId="57" builtinId="47" customBuiltin="1"/>
    <cellStyle name="40% - Énfasis5 10" xfId="267" xr:uid="{5FF05EA3-69E3-43B8-BD10-1CC8C2B7B4E8}"/>
    <cellStyle name="40% - Énfasis5 10 2" xfId="573" xr:uid="{15165943-1818-448F-AC9E-D284D76CECF3}"/>
    <cellStyle name="40% - Énfasis5 11" xfId="288" xr:uid="{867C13EE-AEEF-4C88-BCA0-416493827348}"/>
    <cellStyle name="40% - Énfasis5 11 2" xfId="594" xr:uid="{97AA4032-B177-407D-BAA0-A13041CD6618}"/>
    <cellStyle name="40% - Énfasis5 12" xfId="311" xr:uid="{B09B4318-CF67-4700-8942-73DFC7DCB925}"/>
    <cellStyle name="40% - Énfasis5 12 2" xfId="617" xr:uid="{4B412507-6CF0-429A-A41E-A9E926DAFBAD}"/>
    <cellStyle name="40% - Énfasis5 13" xfId="333" xr:uid="{84D61314-D572-444E-AC09-2C8505967B36}"/>
    <cellStyle name="40% - Énfasis5 13 2" xfId="639" xr:uid="{C4AD0248-75B7-4583-9D90-51AD9AE0417C}"/>
    <cellStyle name="40% - Énfasis5 14" xfId="369" xr:uid="{8FDE898D-EA95-4806-981D-1A5CCE50F633}"/>
    <cellStyle name="40% - Énfasis5 2" xfId="90" xr:uid="{5218196C-5871-4037-9F6E-95550C417AD4}"/>
    <cellStyle name="40% - Énfasis5 2 2" xfId="397" xr:uid="{B077B4AD-E7A5-44AB-BE46-C565A5A8C84B}"/>
    <cellStyle name="40% - Énfasis5 3" xfId="111" xr:uid="{6FA1BA0D-B8D7-42E0-A0B6-70376ABFAA05}"/>
    <cellStyle name="40% - Énfasis5 3 2" xfId="418" xr:uid="{AA281E68-92A5-4402-A2CB-085D70D31675}"/>
    <cellStyle name="40% - Énfasis5 4" xfId="133" xr:uid="{F82E0055-FA67-4754-B428-057F74AF3F5B}"/>
    <cellStyle name="40% - Énfasis5 4 2" xfId="440" xr:uid="{899DD85B-C39D-4290-8F20-BBD576EBFBD8}"/>
    <cellStyle name="40% - Énfasis5 5" xfId="154" xr:uid="{D62BEB94-FA50-4F14-91B6-9367E12BAE21}"/>
    <cellStyle name="40% - Énfasis5 5 2" xfId="461" xr:uid="{C3B1C5B0-FCFC-47EA-83DE-E07BED1D1625}"/>
    <cellStyle name="40% - Énfasis5 6" xfId="175" xr:uid="{AA3EDAA7-7F6C-4A76-B36A-03E251803C62}"/>
    <cellStyle name="40% - Énfasis5 6 2" xfId="482" xr:uid="{42D09BBD-647D-4464-B26F-8DA823C83855}"/>
    <cellStyle name="40% - Énfasis5 7" xfId="199" xr:uid="{6D6E8C87-4026-47BC-9639-C767ED7340E9}"/>
    <cellStyle name="40% - Énfasis5 7 2" xfId="506" xr:uid="{5021B950-B22B-40AA-8656-C3012ABA98EF}"/>
    <cellStyle name="40% - Énfasis5 8" xfId="219" xr:uid="{94F1C623-3475-4D40-8FB1-C256D34B8686}"/>
    <cellStyle name="40% - Énfasis5 8 2" xfId="526" xr:uid="{708823DF-E4B5-46BA-875A-D159DC6824A7}"/>
    <cellStyle name="40% - Énfasis5 9" xfId="246" xr:uid="{D37B8B78-89F4-4610-A1F2-805C52A0175B}"/>
    <cellStyle name="40% - Énfasis5 9 2" xfId="552" xr:uid="{6DEFE57D-EBC9-47EC-A00A-54E91592A8DE}"/>
    <cellStyle name="40% - Énfasis6" xfId="61" builtinId="51" customBuiltin="1"/>
    <cellStyle name="40% - Énfasis6 10" xfId="270" xr:uid="{A295A169-3B6A-453D-B2E0-8DCBF54AF475}"/>
    <cellStyle name="40% - Énfasis6 10 2" xfId="576" xr:uid="{4B7B22A3-114B-4AE8-B58A-0D2A0EA416DA}"/>
    <cellStyle name="40% - Énfasis6 11" xfId="291" xr:uid="{8735AAF2-99E1-40EC-B71C-90AF1E5824FE}"/>
    <cellStyle name="40% - Énfasis6 11 2" xfId="597" xr:uid="{608B55B4-1EA9-4FD0-AD76-B8FB544CF511}"/>
    <cellStyle name="40% - Énfasis6 12" xfId="314" xr:uid="{BC310154-1A05-421F-9419-759038A016A2}"/>
    <cellStyle name="40% - Énfasis6 12 2" xfId="620" xr:uid="{FF841721-6764-4E9F-99E9-88450E4121AB}"/>
    <cellStyle name="40% - Énfasis6 13" xfId="336" xr:uid="{0C89B52C-8DA8-4486-8B23-0EE68F1239F5}"/>
    <cellStyle name="40% - Énfasis6 13 2" xfId="642" xr:uid="{20903369-4A35-4C8F-B564-C4D9FB72EF03}"/>
    <cellStyle name="40% - Énfasis6 14" xfId="372" xr:uid="{360B640D-02E9-4F88-AC1A-6C67CDEBC462}"/>
    <cellStyle name="40% - Énfasis6 2" xfId="93" xr:uid="{D4085E63-BE8E-4D4E-8CE5-7FCD178E3247}"/>
    <cellStyle name="40% - Énfasis6 2 2" xfId="400" xr:uid="{82073D88-F5E1-4F07-B137-5FCA98EEE58A}"/>
    <cellStyle name="40% - Énfasis6 3" xfId="114" xr:uid="{094B24BA-EE5B-4A6D-9674-99F31ED082C3}"/>
    <cellStyle name="40% - Énfasis6 3 2" xfId="421" xr:uid="{2258EFBB-50DC-4CEA-A24B-96B7A8640FA3}"/>
    <cellStyle name="40% - Énfasis6 4" xfId="136" xr:uid="{78EE440E-860D-45AD-B968-3EEEDD98D1DF}"/>
    <cellStyle name="40% - Énfasis6 4 2" xfId="443" xr:uid="{17607D70-E965-462B-B25A-754536355206}"/>
    <cellStyle name="40% - Énfasis6 5" xfId="157" xr:uid="{7C324057-E1F6-4D24-B3DE-772CF522104C}"/>
    <cellStyle name="40% - Énfasis6 5 2" xfId="464" xr:uid="{271DC895-F170-4A92-B79D-F5BE482CC912}"/>
    <cellStyle name="40% - Énfasis6 6" xfId="178" xr:uid="{E6E824E5-9DC2-45D9-B350-F2D2ED177776}"/>
    <cellStyle name="40% - Énfasis6 6 2" xfId="485" xr:uid="{121F9815-71C8-4AC8-81E0-35D8DA45CC42}"/>
    <cellStyle name="40% - Énfasis6 7" xfId="202" xr:uid="{9C0125CC-0332-46FA-AD8E-562799647250}"/>
    <cellStyle name="40% - Énfasis6 7 2" xfId="509" xr:uid="{8E6F3F88-F0B3-44B2-9641-BC8289FFD42B}"/>
    <cellStyle name="40% - Énfasis6 8" xfId="222" xr:uid="{2A219FE9-A737-4BB8-9811-DE7F11734970}"/>
    <cellStyle name="40% - Énfasis6 8 2" xfId="529" xr:uid="{AD22B861-2B00-4B5C-B047-18190622D42A}"/>
    <cellStyle name="40% - Énfasis6 9" xfId="249" xr:uid="{939E32FF-8AE7-4853-8837-3039AD6A7D63}"/>
    <cellStyle name="40% - Énfasis6 9 2" xfId="555" xr:uid="{7F6B2525-F1E5-45D0-8894-655A2671C7A6}"/>
    <cellStyle name="60% - Énfasis1" xfId="42" builtinId="32" customBuiltin="1"/>
    <cellStyle name="60% - Énfasis1 10" xfId="256" xr:uid="{145E3594-517D-4064-A75F-01BFD0041D1D}"/>
    <cellStyle name="60% - Énfasis1 10 2" xfId="562" xr:uid="{B8D21447-D6C4-4F24-B5B5-32BD9253C98F}"/>
    <cellStyle name="60% - Énfasis1 11" xfId="277" xr:uid="{7D430F82-BE0B-4743-BCA6-0191FA4073DE}"/>
    <cellStyle name="60% - Énfasis1 11 2" xfId="583" xr:uid="{03FEE07C-CC01-4C42-8632-3C655705BBF1}"/>
    <cellStyle name="60% - Énfasis1 12" xfId="300" xr:uid="{0FE053C2-273F-4BD0-BFBC-3D280406377B}"/>
    <cellStyle name="60% - Énfasis1 12 2" xfId="606" xr:uid="{224BE14B-E434-4319-96E0-C3E8DF661B99}"/>
    <cellStyle name="60% - Énfasis1 13" xfId="322" xr:uid="{CF78D284-1701-4E1C-A4FE-01490255032E}"/>
    <cellStyle name="60% - Énfasis1 13 2" xfId="628" xr:uid="{F306741D-F485-45EB-A414-95EC1DF9F12A}"/>
    <cellStyle name="60% - Énfasis1 14" xfId="358" xr:uid="{F416453C-9864-4250-A599-E93911D1501E}"/>
    <cellStyle name="60% - Énfasis1 2" xfId="79" xr:uid="{C3EEB3D4-C201-4764-8BC2-86E8A8FBE0C9}"/>
    <cellStyle name="60% - Énfasis1 2 2" xfId="386" xr:uid="{CCF577CF-8C51-4BA6-AF34-5A07D72542B0}"/>
    <cellStyle name="60% - Énfasis1 3" xfId="100" xr:uid="{A963A023-01BE-41BA-9859-28AE5F54EA1C}"/>
    <cellStyle name="60% - Énfasis1 3 2" xfId="407" xr:uid="{48789DE1-1E4C-40FB-8EDC-F5B45D94C144}"/>
    <cellStyle name="60% - Énfasis1 4" xfId="122" xr:uid="{7C41D538-62E1-4D97-A3E5-3E8525FAB182}"/>
    <cellStyle name="60% - Énfasis1 4 2" xfId="429" xr:uid="{A6B80BA4-7712-4260-8ADB-06211B6EC01A}"/>
    <cellStyle name="60% - Énfasis1 5" xfId="143" xr:uid="{212088B2-2EEB-43C3-896D-C43C041CB491}"/>
    <cellStyle name="60% - Énfasis1 5 2" xfId="450" xr:uid="{D0350C34-5A36-4186-A637-5E3D83826694}"/>
    <cellStyle name="60% - Énfasis1 6" xfId="164" xr:uid="{45B09DC7-5EA9-43D3-9A30-5BDBFCE71E46}"/>
    <cellStyle name="60% - Énfasis1 6 2" xfId="471" xr:uid="{1837EBA9-9833-4162-9CC9-C9CF39D2EEBB}"/>
    <cellStyle name="60% - Énfasis1 7" xfId="188" xr:uid="{78E81D8D-E3EF-45F5-A4A9-874BD90CBCF6}"/>
    <cellStyle name="60% - Énfasis1 7 2" xfId="495" xr:uid="{2BA3609B-8366-4899-A440-14742DFDB52A}"/>
    <cellStyle name="60% - Énfasis1 8" xfId="208" xr:uid="{699DE32B-A70B-4142-94B6-4EFC2FEC3F0E}"/>
    <cellStyle name="60% - Énfasis1 8 2" xfId="515" xr:uid="{9765209D-669A-42EB-ACFE-144371A62048}"/>
    <cellStyle name="60% - Énfasis1 9" xfId="235" xr:uid="{2E80135A-7D7E-41AA-B756-B6C2245E0496}"/>
    <cellStyle name="60% - Énfasis1 9 2" xfId="541" xr:uid="{6F25BB91-9999-4EE9-8B90-348513974E7E}"/>
    <cellStyle name="60% - Énfasis2" xfId="46" builtinId="36" customBuiltin="1"/>
    <cellStyle name="60% - Énfasis2 10" xfId="259" xr:uid="{1A9F7B06-207E-43BA-A7DC-2B696D2AFFFC}"/>
    <cellStyle name="60% - Énfasis2 10 2" xfId="565" xr:uid="{EBFEF885-0B61-4EA9-A71E-C5EE29A6E521}"/>
    <cellStyle name="60% - Énfasis2 11" xfId="280" xr:uid="{2B58B7FD-9459-4D8C-A431-6AE95919F7C0}"/>
    <cellStyle name="60% - Énfasis2 11 2" xfId="586" xr:uid="{26C15B51-16F0-41AA-B00C-991ED73DFBB5}"/>
    <cellStyle name="60% - Énfasis2 12" xfId="303" xr:uid="{DC038A87-9A06-4EC2-9137-D362AD077FD0}"/>
    <cellStyle name="60% - Énfasis2 12 2" xfId="609" xr:uid="{1299CA78-2F63-4B03-AF76-E494A4C8A07E}"/>
    <cellStyle name="60% - Énfasis2 13" xfId="325" xr:uid="{D8BD6218-D3DF-4262-A793-3098E6A3F0C6}"/>
    <cellStyle name="60% - Énfasis2 13 2" xfId="631" xr:uid="{FC5F0060-8AC5-47AD-AEC5-55AD12303C4D}"/>
    <cellStyle name="60% - Énfasis2 14" xfId="361" xr:uid="{FF490DDA-0B3C-4354-B34A-B2FAE29CCABE}"/>
    <cellStyle name="60% - Énfasis2 2" xfId="82" xr:uid="{37154A62-B034-4CBA-B76C-59A2B5B6C9B4}"/>
    <cellStyle name="60% - Énfasis2 2 2" xfId="389" xr:uid="{2FA0CCF4-1D6E-4408-8501-0242CB10D595}"/>
    <cellStyle name="60% - Énfasis2 3" xfId="103" xr:uid="{5A197B05-6034-4145-A0D2-6506B4575CCF}"/>
    <cellStyle name="60% - Énfasis2 3 2" xfId="410" xr:uid="{7F622770-4F1D-4A09-8371-4C2FE8F0947E}"/>
    <cellStyle name="60% - Énfasis2 4" xfId="125" xr:uid="{C30668BE-C597-4BCD-935B-2AA7ABF9AE86}"/>
    <cellStyle name="60% - Énfasis2 4 2" xfId="432" xr:uid="{CEBDEF11-3067-4589-8E2F-F3EE50A5D7E9}"/>
    <cellStyle name="60% - Énfasis2 5" xfId="146" xr:uid="{A090AB6A-AFB4-4A59-9402-340792711B76}"/>
    <cellStyle name="60% - Énfasis2 5 2" xfId="453" xr:uid="{D5406465-B798-455C-95F8-FFC69ED98B61}"/>
    <cellStyle name="60% - Énfasis2 6" xfId="167" xr:uid="{8267065E-7E61-4EA2-8014-A51967B2A5CB}"/>
    <cellStyle name="60% - Énfasis2 6 2" xfId="474" xr:uid="{92A97C72-5D4F-4E00-A590-3A65AAC27B6C}"/>
    <cellStyle name="60% - Énfasis2 7" xfId="191" xr:uid="{50BAD988-FA22-4C0A-970F-A3290AF675CF}"/>
    <cellStyle name="60% - Énfasis2 7 2" xfId="498" xr:uid="{DB205578-A5C9-4418-92CB-C3E050E6FF1E}"/>
    <cellStyle name="60% - Énfasis2 8" xfId="211" xr:uid="{36099A2E-5725-437B-93F8-8BBCF0CC68A3}"/>
    <cellStyle name="60% - Énfasis2 8 2" xfId="518" xr:uid="{92BB9068-012C-4B55-A295-36B70E414B5F}"/>
    <cellStyle name="60% - Énfasis2 9" xfId="238" xr:uid="{ACE9F006-B66C-49E5-9761-696007F0D07C}"/>
    <cellStyle name="60% - Énfasis2 9 2" xfId="544" xr:uid="{02DEBED9-65E3-41C1-8838-E241AE388B6C}"/>
    <cellStyle name="60% - Énfasis3" xfId="50" builtinId="40" customBuiltin="1"/>
    <cellStyle name="60% - Énfasis3 10" xfId="262" xr:uid="{9BE05971-CAC5-4167-A6DC-BBB6026551C6}"/>
    <cellStyle name="60% - Énfasis3 10 2" xfId="568" xr:uid="{C2CC9BC7-13B5-4996-A491-D57570BB7629}"/>
    <cellStyle name="60% - Énfasis3 11" xfId="283" xr:uid="{3A4B8C85-068F-4457-8DC7-72C66A9310FE}"/>
    <cellStyle name="60% - Énfasis3 11 2" xfId="589" xr:uid="{3EB4AFE2-6BB0-43F2-8F82-8EE404D97CF6}"/>
    <cellStyle name="60% - Énfasis3 12" xfId="306" xr:uid="{91DB6860-ACC5-4FF7-AEEE-7EF77C8A3C3E}"/>
    <cellStyle name="60% - Énfasis3 12 2" xfId="612" xr:uid="{FE706E42-2592-46BE-A9C2-5457375995B8}"/>
    <cellStyle name="60% - Énfasis3 13" xfId="328" xr:uid="{8F2F1ED2-25BE-43A8-9A0C-D3A4445A84EF}"/>
    <cellStyle name="60% - Énfasis3 13 2" xfId="634" xr:uid="{E845F8D6-7513-45C0-A045-5738365016CE}"/>
    <cellStyle name="60% - Énfasis3 14" xfId="364" xr:uid="{DCC6D3E1-A970-4471-A217-26D90D3FA0F6}"/>
    <cellStyle name="60% - Énfasis3 2" xfId="85" xr:uid="{CEA0A7F2-D822-4877-BDE6-2F90E41C5AB5}"/>
    <cellStyle name="60% - Énfasis3 2 2" xfId="392" xr:uid="{4EBFB333-074D-4C58-87A2-50AFEAEA01AE}"/>
    <cellStyle name="60% - Énfasis3 3" xfId="106" xr:uid="{C6504609-5346-4A0A-B5CA-F25B22747CCF}"/>
    <cellStyle name="60% - Énfasis3 3 2" xfId="413" xr:uid="{9CD3B579-A96E-457A-B1C2-7A172E85AC05}"/>
    <cellStyle name="60% - Énfasis3 4" xfId="128" xr:uid="{934AB837-5BD3-48C7-A258-72FC838A6644}"/>
    <cellStyle name="60% - Énfasis3 4 2" xfId="435" xr:uid="{05AC26B1-972E-446C-BDAE-307D47FE3D01}"/>
    <cellStyle name="60% - Énfasis3 5" xfId="149" xr:uid="{08DAFF58-9F7C-4826-A9BB-1011935B9019}"/>
    <cellStyle name="60% - Énfasis3 5 2" xfId="456" xr:uid="{76E98837-EDF5-4DE1-9A15-28D55CCE3DDC}"/>
    <cellStyle name="60% - Énfasis3 6" xfId="170" xr:uid="{CA1A25EE-B328-4BF2-BDE8-49F8914F477E}"/>
    <cellStyle name="60% - Énfasis3 6 2" xfId="477" xr:uid="{FEE8E293-8B18-4BBE-8EDE-5D6537840DD8}"/>
    <cellStyle name="60% - Énfasis3 7" xfId="194" xr:uid="{B36104D9-6F15-47C4-8335-AE6EEC9A6679}"/>
    <cellStyle name="60% - Énfasis3 7 2" xfId="501" xr:uid="{F19CBFF5-463E-470F-B0C6-BA4337574CC9}"/>
    <cellStyle name="60% - Énfasis3 8" xfId="214" xr:uid="{F381C5DE-64AE-4C57-BBF9-131A11D861B6}"/>
    <cellStyle name="60% - Énfasis3 8 2" xfId="521" xr:uid="{8649B3CD-85FB-4FB8-AE84-DCC30F2BD233}"/>
    <cellStyle name="60% - Énfasis3 9" xfId="241" xr:uid="{33211A17-B9CC-419E-A87B-062CEB978F12}"/>
    <cellStyle name="60% - Énfasis3 9 2" xfId="547" xr:uid="{63CFF926-3D41-4FDA-B5D2-E73EF83BDC55}"/>
    <cellStyle name="60% - Énfasis4" xfId="54" builtinId="44" customBuiltin="1"/>
    <cellStyle name="60% - Énfasis4 10" xfId="265" xr:uid="{3B1B08B7-1F8B-450A-BA16-E7CFED3F4F8E}"/>
    <cellStyle name="60% - Énfasis4 10 2" xfId="571" xr:uid="{4B284A43-EB60-497F-A92F-C6A2733262A9}"/>
    <cellStyle name="60% - Énfasis4 11" xfId="286" xr:uid="{9FAE549C-F149-44A7-A5B7-A861BAB5ED38}"/>
    <cellStyle name="60% - Énfasis4 11 2" xfId="592" xr:uid="{9E4D51A4-3327-4650-A926-FC1FAEADD425}"/>
    <cellStyle name="60% - Énfasis4 12" xfId="309" xr:uid="{03070772-E2C7-43AA-9128-ACE181D5B916}"/>
    <cellStyle name="60% - Énfasis4 12 2" xfId="615" xr:uid="{8792EF25-6CD6-4286-B3FE-01924E6906A9}"/>
    <cellStyle name="60% - Énfasis4 13" xfId="331" xr:uid="{57A75FEC-EB25-4242-A09C-89B7D939ABF6}"/>
    <cellStyle name="60% - Énfasis4 13 2" xfId="637" xr:uid="{8E8C7483-57A9-4252-9753-3E0B273983C0}"/>
    <cellStyle name="60% - Énfasis4 14" xfId="367" xr:uid="{7F89E6B1-5AC7-4C0B-9050-E8709A62ED7E}"/>
    <cellStyle name="60% - Énfasis4 2" xfId="88" xr:uid="{D28F10DD-5FB1-4A72-882F-698F174A74B9}"/>
    <cellStyle name="60% - Énfasis4 2 2" xfId="395" xr:uid="{1E40DC20-C4FD-4B10-B18B-58086063A5C9}"/>
    <cellStyle name="60% - Énfasis4 3" xfId="109" xr:uid="{C97A1A60-FDB8-4B63-A23D-EDFAA19E0240}"/>
    <cellStyle name="60% - Énfasis4 3 2" xfId="416" xr:uid="{C3D2B2AF-7E2F-4ACA-90A1-52E6B8A21B57}"/>
    <cellStyle name="60% - Énfasis4 4" xfId="131" xr:uid="{B9235CEE-3F17-423E-B84D-0D13CCAF670A}"/>
    <cellStyle name="60% - Énfasis4 4 2" xfId="438" xr:uid="{ADA0F2B4-3068-4DCB-9183-8FE4B8BE49DC}"/>
    <cellStyle name="60% - Énfasis4 5" xfId="152" xr:uid="{A5DBDACD-1FF7-4B15-B291-2B07567ACF7C}"/>
    <cellStyle name="60% - Énfasis4 5 2" xfId="459" xr:uid="{B4A7B4D3-CB70-4CE8-9A6F-A8D6BF8495B3}"/>
    <cellStyle name="60% - Énfasis4 6" xfId="173" xr:uid="{40588E5E-D499-408A-9F1B-265E09360E96}"/>
    <cellStyle name="60% - Énfasis4 6 2" xfId="480" xr:uid="{AC30CA48-CE11-4911-B981-BECB5327BF91}"/>
    <cellStyle name="60% - Énfasis4 7" xfId="197" xr:uid="{032E48B4-0435-494B-A19E-9E39F5492E53}"/>
    <cellStyle name="60% - Énfasis4 7 2" xfId="504" xr:uid="{D94BAA61-2E27-43CA-A463-947CCBA7645E}"/>
    <cellStyle name="60% - Énfasis4 8" xfId="217" xr:uid="{9BE4EB95-15B9-4A2A-BE00-F9312D820EBF}"/>
    <cellStyle name="60% - Énfasis4 8 2" xfId="524" xr:uid="{E312B80C-2CA8-4E0A-A4B8-6CBC6C54F412}"/>
    <cellStyle name="60% - Énfasis4 9" xfId="244" xr:uid="{D0542227-E4F5-4DBC-A9C5-0356B39534A4}"/>
    <cellStyle name="60% - Énfasis4 9 2" xfId="550" xr:uid="{DFAB84A3-52FA-4831-8C12-85FEA2F87024}"/>
    <cellStyle name="60% - Énfasis5" xfId="58" builtinId="48" customBuiltin="1"/>
    <cellStyle name="60% - Énfasis5 10" xfId="268" xr:uid="{FCA0E648-8176-4A40-8C26-0D00548E4FD3}"/>
    <cellStyle name="60% - Énfasis5 10 2" xfId="574" xr:uid="{0D6F8EAE-E232-41A9-B228-4088B32B91F1}"/>
    <cellStyle name="60% - Énfasis5 11" xfId="289" xr:uid="{7825C288-F14E-4772-84BD-2AAB8E753D36}"/>
    <cellStyle name="60% - Énfasis5 11 2" xfId="595" xr:uid="{0AE3F8CA-9B55-43A9-8FE9-9A57F28C5D73}"/>
    <cellStyle name="60% - Énfasis5 12" xfId="312" xr:uid="{F0F45E6F-780F-4559-B0D3-BF0B15E05A63}"/>
    <cellStyle name="60% - Énfasis5 12 2" xfId="618" xr:uid="{C26773BD-3F4D-400D-BECA-2444D1523029}"/>
    <cellStyle name="60% - Énfasis5 13" xfId="334" xr:uid="{3CE72B31-E6F4-4910-958F-50A0D8AB6909}"/>
    <cellStyle name="60% - Énfasis5 13 2" xfId="640" xr:uid="{B1E09F24-C1C4-43F2-8B51-7DA399A19C62}"/>
    <cellStyle name="60% - Énfasis5 14" xfId="370" xr:uid="{998D12BC-F08E-41C3-975F-E618FEA3AA88}"/>
    <cellStyle name="60% - Énfasis5 2" xfId="91" xr:uid="{52B45539-5223-487D-A564-E556661FEC25}"/>
    <cellStyle name="60% - Énfasis5 2 2" xfId="398" xr:uid="{359A6208-5890-4D46-8A6C-DA1446C64E4C}"/>
    <cellStyle name="60% - Énfasis5 3" xfId="112" xr:uid="{FF71181B-AF2B-47E5-A9A3-7FA6005C98B7}"/>
    <cellStyle name="60% - Énfasis5 3 2" xfId="419" xr:uid="{0767DFBB-5624-4ACF-B92A-CB4A9DBC4765}"/>
    <cellStyle name="60% - Énfasis5 4" xfId="134" xr:uid="{4EF3B26B-6375-4D18-8A0F-2C0333C21AAA}"/>
    <cellStyle name="60% - Énfasis5 4 2" xfId="441" xr:uid="{06F36BBE-60FD-4EC1-AADD-3C12FA37C2BC}"/>
    <cellStyle name="60% - Énfasis5 5" xfId="155" xr:uid="{E1C2626D-3617-488A-8EBC-A9EB625773F9}"/>
    <cellStyle name="60% - Énfasis5 5 2" xfId="462" xr:uid="{C8FF5C20-2B2C-4F62-9ABA-DDBBA1306063}"/>
    <cellStyle name="60% - Énfasis5 6" xfId="176" xr:uid="{17B7CC14-0BAB-4235-BCE1-41195157D6D9}"/>
    <cellStyle name="60% - Énfasis5 6 2" xfId="483" xr:uid="{75ED58A1-7129-4D5E-B29D-644681D01996}"/>
    <cellStyle name="60% - Énfasis5 7" xfId="200" xr:uid="{81A0067C-A98C-4D97-BBB2-8A7F6EB37651}"/>
    <cellStyle name="60% - Énfasis5 7 2" xfId="507" xr:uid="{39AA93A1-A59B-442A-BC6A-20FC60270B67}"/>
    <cellStyle name="60% - Énfasis5 8" xfId="220" xr:uid="{11413860-8883-4CA9-8844-E714E0A0ECED}"/>
    <cellStyle name="60% - Énfasis5 8 2" xfId="527" xr:uid="{4E331ACF-DA3F-4B21-AC3F-E14E81B963BA}"/>
    <cellStyle name="60% - Énfasis5 9" xfId="247" xr:uid="{15D6D1D4-40FF-4615-83C2-35A352FA9016}"/>
    <cellStyle name="60% - Énfasis5 9 2" xfId="553" xr:uid="{4AAC8938-5A26-4214-80B0-8F4C44B9DB56}"/>
    <cellStyle name="60% - Énfasis6" xfId="62" builtinId="52" customBuiltin="1"/>
    <cellStyle name="60% - Énfasis6 10" xfId="271" xr:uid="{ED4DBB2A-FE26-4D5C-83DB-2544D05E24AA}"/>
    <cellStyle name="60% - Énfasis6 10 2" xfId="577" xr:uid="{B357895B-8506-44DF-9937-C8120BD2A704}"/>
    <cellStyle name="60% - Énfasis6 11" xfId="292" xr:uid="{DC566DEF-3C14-4333-A766-B3E488A81F46}"/>
    <cellStyle name="60% - Énfasis6 11 2" xfId="598" xr:uid="{66635263-CAD0-47C5-B509-8FBC5A374CD4}"/>
    <cellStyle name="60% - Énfasis6 12" xfId="315" xr:uid="{22C3AF3C-3F61-4B1F-BC92-AB375D471F0A}"/>
    <cellStyle name="60% - Énfasis6 12 2" xfId="621" xr:uid="{2F697E44-48B0-4A06-8485-EE807F17AF42}"/>
    <cellStyle name="60% - Énfasis6 13" xfId="337" xr:uid="{4A8223AE-840B-40A0-9128-9AB97261A852}"/>
    <cellStyle name="60% - Énfasis6 13 2" xfId="643" xr:uid="{A99378E9-32E3-4772-9B6E-2B26692E1320}"/>
    <cellStyle name="60% - Énfasis6 14" xfId="373" xr:uid="{F425451B-54CB-4E49-95B3-FB681B8326C5}"/>
    <cellStyle name="60% - Énfasis6 2" xfId="94" xr:uid="{1F056CA2-1D2C-4FBF-81AC-119003199474}"/>
    <cellStyle name="60% - Énfasis6 2 2" xfId="401" xr:uid="{7A1A903A-DF39-48AB-9FB9-D4D8036E48F1}"/>
    <cellStyle name="60% - Énfasis6 3" xfId="115" xr:uid="{812B0BAA-36FA-498B-9D89-6F2D4482794E}"/>
    <cellStyle name="60% - Énfasis6 3 2" xfId="422" xr:uid="{5CBFA9D1-5EF5-4272-BF0D-B3B006DF4544}"/>
    <cellStyle name="60% - Énfasis6 4" xfId="137" xr:uid="{A93C2971-2F9F-48E4-9913-84861738BD8B}"/>
    <cellStyle name="60% - Énfasis6 4 2" xfId="444" xr:uid="{B688584D-18F8-43BE-B5AD-CE2AD66257CC}"/>
    <cellStyle name="60% - Énfasis6 5" xfId="158" xr:uid="{7865F1FB-1D37-4619-9437-73D2AF48B6B8}"/>
    <cellStyle name="60% - Énfasis6 5 2" xfId="465" xr:uid="{C37FC9EF-4374-4FE3-BA0D-E9377FE490EF}"/>
    <cellStyle name="60% - Énfasis6 6" xfId="179" xr:uid="{874C2E1A-D419-4656-B136-441D273A1089}"/>
    <cellStyle name="60% - Énfasis6 6 2" xfId="486" xr:uid="{F783BD1F-D06B-443B-85B1-5AE051D99BB6}"/>
    <cellStyle name="60% - Énfasis6 7" xfId="203" xr:uid="{5C2539EA-0ABC-4E88-A357-2831023C7B7D}"/>
    <cellStyle name="60% - Énfasis6 7 2" xfId="510" xr:uid="{301E9564-7E4A-4CB1-A6ED-BD813D3B85DE}"/>
    <cellStyle name="60% - Énfasis6 8" xfId="223" xr:uid="{328C2BB5-71E6-49C2-B1AB-3F80686A4E81}"/>
    <cellStyle name="60% - Énfasis6 8 2" xfId="530" xr:uid="{9155BCF6-9D40-4C78-8E49-99646250F4C0}"/>
    <cellStyle name="60% - Énfasis6 9" xfId="250" xr:uid="{66377EF6-FC46-4709-AEEC-7217B1338493}"/>
    <cellStyle name="60% - Énfasis6 9 2" xfId="556" xr:uid="{70749EE2-852C-44E6-91AC-CA76F9AC802C}"/>
    <cellStyle name="Bueno" xfId="29" builtinId="26" customBuiltin="1"/>
    <cellStyle name="Cálculo" xfId="34" builtinId="22" customBuiltin="1"/>
    <cellStyle name="Celda de comprobación" xfId="36" builtinId="23" customBuiltin="1"/>
    <cellStyle name="Celda vinculada" xfId="35" builtinId="24" customBuiltin="1"/>
    <cellStyle name="Comma 3 2" xfId="8" xr:uid="{2BEF9380-8B23-4ABC-BA77-FE38DF3F5D7B}"/>
    <cellStyle name="Comma 3 2 2" xfId="10" xr:uid="{80617B96-6991-44AD-947D-E51A36AE37A8}"/>
    <cellStyle name="Comma 3 2 2 2" xfId="343" xr:uid="{8C9FFAE0-CB6A-4DE7-A6B5-0ED10A0C36D7}"/>
    <cellStyle name="Comma 3 2 3" xfId="14" xr:uid="{6E6CEDE4-77C0-4809-B4FC-9E9405ABC0C8}"/>
    <cellStyle name="Comma 3 2 3 2" xfId="347" xr:uid="{A937E59B-9BD0-41B3-BDB5-33A4B84FCD6F}"/>
    <cellStyle name="Comma 3 2 4" xfId="16" xr:uid="{D9694EDF-19F4-4BD0-BC3B-9682BE4AA9EE}"/>
    <cellStyle name="Comma 3 2 4 2" xfId="349" xr:uid="{EC2CCC01-065A-4E1D-A055-AD2EB292DD7E}"/>
    <cellStyle name="Comma 3 2 5" xfId="20" xr:uid="{E71DB9C1-7355-4978-9CAB-B3D54AE7FE83}"/>
    <cellStyle name="Comma 3 2 5 2" xfId="353" xr:uid="{E67595D5-9E5A-47BD-AF93-534536E3A210}"/>
    <cellStyle name="Comma 3 2 6" xfId="341" xr:uid="{C077DA69-B458-415D-A0C0-24D3C42D98DF}"/>
    <cellStyle name="Encabezado 1" xfId="25" builtinId="16" customBuiltin="1"/>
    <cellStyle name="Encabezado 4" xfId="28" builtinId="19" customBuiltin="1"/>
    <cellStyle name="Énfasis1" xfId="3" builtinId="29"/>
    <cellStyle name="Énfasis1 2" xfId="65" xr:uid="{FF26ECCF-5EB3-4330-9AF5-FB1A547688F0}"/>
    <cellStyle name="Énfasis1 2 2" xfId="71" xr:uid="{400362AC-EF6B-4650-AE7B-0D6AB5739B96}"/>
    <cellStyle name="Énfasis2" xfId="43" builtinId="33" customBuiltin="1"/>
    <cellStyle name="Énfasis3" xfId="47" builtinId="37" customBuiltin="1"/>
    <cellStyle name="Énfasis4" xfId="51" builtinId="41" customBuiltin="1"/>
    <cellStyle name="Énfasis5" xfId="55" builtinId="45" customBuiltin="1"/>
    <cellStyle name="Énfasis6" xfId="59" builtinId="49" customBuiltin="1"/>
    <cellStyle name="Entrada" xfId="32" builtinId="20" customBuiltin="1"/>
    <cellStyle name="Hipervínculo" xfId="7" builtinId="8"/>
    <cellStyle name="Incorrecto" xfId="30" builtinId="27" customBuiltin="1"/>
    <cellStyle name="Millares" xfId="1" builtinId="3"/>
    <cellStyle name="Millares 10" xfId="66" xr:uid="{72DDD5BD-C84D-4960-B961-0AE9B367870A}"/>
    <cellStyle name="Millares 10 2" xfId="376" xr:uid="{955E3961-096D-4A91-8CB7-772EF3B23EEA}"/>
    <cellStyle name="Millares 11" xfId="75" xr:uid="{69E1E5D5-52E4-4AEA-8083-D3DDF85F9E2D}"/>
    <cellStyle name="Millares 11 2" xfId="382" xr:uid="{AFA11A69-F00E-41E6-97F2-5115490A602D}"/>
    <cellStyle name="Millares 12" xfId="116" xr:uid="{D8A12EBF-2A6D-4CEC-8FB6-CDC8090C8C7A}"/>
    <cellStyle name="Millares 12 2" xfId="423" xr:uid="{18D63F8A-028E-4A28-8545-CC542BF84104}"/>
    <cellStyle name="Millares 13" xfId="180" xr:uid="{ED606795-6757-4165-8CEB-C38A8A1BF078}"/>
    <cellStyle name="Millares 13 2" xfId="487" xr:uid="{A9502ABC-0CA0-4FB8-ACFD-98A6170A9DB7}"/>
    <cellStyle name="Millares 14" xfId="183" xr:uid="{821E7C72-E7C0-44C9-A993-5234F021886E}"/>
    <cellStyle name="Millares 14 2" xfId="490" xr:uid="{26689683-9F60-49E7-9050-4B5BD83E734E}"/>
    <cellStyle name="Millares 15" xfId="224" xr:uid="{4402F1B6-25D1-47D1-B9AC-CE289916230C}"/>
    <cellStyle name="Millares 15 2" xfId="531" xr:uid="{033E2B04-8EC3-4A56-9131-09EA94F92DFF}"/>
    <cellStyle name="Millares 16" xfId="229" xr:uid="{7322E309-BEE6-4A4A-BBDE-CF98DB9E61AD}"/>
    <cellStyle name="Millares 16 2" xfId="535" xr:uid="{D2968688-F94C-4EE1-9EB5-508C7FDF1FF1}"/>
    <cellStyle name="Millares 17" xfId="272" xr:uid="{3FC5E435-CC8B-49B2-A78A-4DC99AB0C598}"/>
    <cellStyle name="Millares 17 2" xfId="578" xr:uid="{A4BA15B6-3680-4A41-91A5-2121C2F39799}"/>
    <cellStyle name="Millares 18" xfId="293" xr:uid="{AF4FA618-A9E2-47D2-9587-2D0CE048B276}"/>
    <cellStyle name="Millares 18 2" xfId="599" xr:uid="{97F21835-7B96-433E-A778-6D8F9CF2780F}"/>
    <cellStyle name="Millares 19" xfId="295" xr:uid="{58D1A1DB-D858-4A8D-B317-D4328CC962D3}"/>
    <cellStyle name="Millares 19 2" xfId="601" xr:uid="{3B5CBA3B-2914-4E17-BC88-10FCBE64822A}"/>
    <cellStyle name="Millares 2" xfId="5" xr:uid="{F775B714-2981-46AF-89FD-3C675C8955B8}"/>
    <cellStyle name="Millares 2 2" xfId="67" xr:uid="{F385D50A-8B0C-4150-BF64-7F3C695C272B}"/>
    <cellStyle name="Millares 2 2 2" xfId="377" xr:uid="{0ACEE1E5-6156-45C7-B597-714FABFAB2D8}"/>
    <cellStyle name="Millares 2 3" xfId="72" xr:uid="{3A5A7054-61F4-41F6-B3AD-A92F42912046}"/>
    <cellStyle name="Millares 2 3 2" xfId="380" xr:uid="{A8C629C8-1CA1-45FB-946B-6E4514E99136}"/>
    <cellStyle name="Millares 2 4" xfId="95" xr:uid="{4ECCD91E-6279-4BCC-B80B-8565083A587C}"/>
    <cellStyle name="Millares 2 4 2" xfId="402" xr:uid="{033A4975-FA79-4958-85D6-28F53B31F02F}"/>
    <cellStyle name="Millares 2 5" xfId="117" xr:uid="{0E0A02EC-786D-4DC0-9132-7471A6F00125}"/>
    <cellStyle name="Millares 2 5 2" xfId="424" xr:uid="{F0FA6657-023A-4218-B85A-F703B57A44A0}"/>
    <cellStyle name="Millares 2 6" xfId="181" xr:uid="{A79350B7-6012-46DD-970F-89663F5D5D8B}"/>
    <cellStyle name="Millares 2 6 2" xfId="488" xr:uid="{CD141165-F01E-44A4-996E-A58C257D08CE}"/>
    <cellStyle name="Millares 2 7" xfId="649" xr:uid="{45E8671A-DECE-4180-8E96-C7AC9F1F39DD}"/>
    <cellStyle name="Millares 20" xfId="317" xr:uid="{456E8B8C-62CF-4391-A775-E4F1CBEBED36}"/>
    <cellStyle name="Millares 20 2" xfId="623" xr:uid="{325C89C1-A214-48C1-9860-1A06B10C867B}"/>
    <cellStyle name="Millares 21" xfId="339" xr:uid="{930DD3FB-AEE9-4BCD-A9F9-553C3B643943}"/>
    <cellStyle name="Millares 22" xfId="340" xr:uid="{FF8C7803-2953-491B-A913-666EC8D54B9A}"/>
    <cellStyle name="Millares 23" xfId="645" xr:uid="{BBD48AB7-DA37-4AB3-8CE4-9F233A738401}"/>
    <cellStyle name="Millares 24" xfId="648" xr:uid="{D49807EF-4E8F-42C9-A518-49DF2DF940B2}"/>
    <cellStyle name="Millares 3" xfId="9" xr:uid="{ACBF6C4D-E6F2-4A06-AA99-FD0038FA4498}"/>
    <cellStyle name="Millares 3 2" xfId="342" xr:uid="{6A38AE9A-54BF-4693-A8E3-8811BE58F978}"/>
    <cellStyle name="Millares 4" xfId="12" xr:uid="{B805363E-7636-44A9-96D0-051C4C01F47E}"/>
    <cellStyle name="Millares 4 2" xfId="345" xr:uid="{52D28E6D-2877-4AFC-BD9B-4763C8DB5B70}"/>
    <cellStyle name="Millares 5" xfId="13" xr:uid="{5D80F714-E5C0-4D24-A6B1-E79810D46B70}"/>
    <cellStyle name="Millares 5 2" xfId="346" xr:uid="{A6753AB1-8B83-4866-AB1C-0C93B5FACEF3}"/>
    <cellStyle name="Millares 6" xfId="15" xr:uid="{FC455C0A-D146-4200-B8EE-551C92DD45C5}"/>
    <cellStyle name="Millares 6 2" xfId="348" xr:uid="{BF767B2E-4273-4195-B78D-BED3F0719A2D}"/>
    <cellStyle name="Millares 7" xfId="18" xr:uid="{56938943-B499-43AE-8AC0-9FE13A7DD984}"/>
    <cellStyle name="Millares 7 2" xfId="351" xr:uid="{C4C92B1B-71A6-4C7C-A806-CF9ABEB4C67D}"/>
    <cellStyle name="Millares 8" xfId="19" xr:uid="{A38F0C67-01E6-4913-B777-5247B2E0DEF2}"/>
    <cellStyle name="Millares 8 2" xfId="352" xr:uid="{E098C5DC-6D9D-4B15-8110-3A305FAC6A39}"/>
    <cellStyle name="Millares 9" xfId="22" xr:uid="{8FF59FCD-6717-47BA-8417-B05472E6DCF6}"/>
    <cellStyle name="Millares 9 2" xfId="355" xr:uid="{84A975EB-2492-4E7C-AB51-5405797239EC}"/>
    <cellStyle name="Moneda" xfId="73" builtinId="4"/>
    <cellStyle name="Moneda 2" xfId="139" xr:uid="{D53D0816-FA94-4D3C-964E-2C90A12CC2FA}"/>
    <cellStyle name="Moneda 2 2" xfId="446" xr:uid="{6665B0FE-5326-4B35-822B-8E286BFF1422}"/>
    <cellStyle name="Moneda 3" xfId="225" xr:uid="{049346AC-128B-421D-A550-D63F1F6151AF}"/>
    <cellStyle name="Moneda 3 2" xfId="532" xr:uid="{1875A098-4FDB-49F0-8C22-4836F340ABA7}"/>
    <cellStyle name="Moneda 4" xfId="230" xr:uid="{35563796-AABC-4057-826E-39384BEAEA1B}"/>
    <cellStyle name="Moneda 4 2" xfId="536" xr:uid="{F9E60708-D689-4FC7-A35A-7BAD40B7168C}"/>
    <cellStyle name="Neutral" xfId="31" builtinId="28" customBuiltin="1"/>
    <cellStyle name="Normal" xfId="0" builtinId="0"/>
    <cellStyle name="Normal 10" xfId="74" xr:uid="{F67CEF8F-BF57-4C06-963F-FC94A6801228}"/>
    <cellStyle name="Normal 10 2" xfId="381" xr:uid="{A9293915-A29B-464D-811F-D89D9C8E8485}"/>
    <cellStyle name="Normal 11" xfId="96" xr:uid="{ABCCE18C-72E9-4759-AA55-D26B3775438C}"/>
    <cellStyle name="Normal 11 2" xfId="403" xr:uid="{EB1C5A45-5B3F-49CC-A798-F6BEE4ED880A}"/>
    <cellStyle name="Normal 12" xfId="118" xr:uid="{512429A0-1462-43FE-AD22-AB21F9FEEFF0}"/>
    <cellStyle name="Normal 12 2" xfId="425" xr:uid="{2325A4CE-240A-43C0-A822-39883BAE0626}"/>
    <cellStyle name="Normal 13" xfId="138" xr:uid="{8BFD9E4A-180B-4978-9CF8-292B2F077463}"/>
    <cellStyle name="Normal 13 2" xfId="445" xr:uid="{EEB5CB15-5F4A-4ACA-AC71-817696FBE98E}"/>
    <cellStyle name="Normal 14" xfId="160" xr:uid="{8E763876-380B-40B5-AE75-AC25767189A1}"/>
    <cellStyle name="Normal 14 2" xfId="467" xr:uid="{AF24F8A9-43D6-4140-90C9-080EE9209645}"/>
    <cellStyle name="Normal 15" xfId="182" xr:uid="{C9F323F4-7309-4372-984D-53ECDDDF51C1}"/>
    <cellStyle name="Normal 15 2" xfId="489" xr:uid="{09D8FAC8-3751-486E-9E8F-84B16FF66E0D}"/>
    <cellStyle name="Normal 16" xfId="204" xr:uid="{0B41E047-1870-44C0-964E-CB24E58F0ACE}"/>
    <cellStyle name="Normal 16 2" xfId="511" xr:uid="{46B9D0CC-C792-44CE-B361-0B346188422B}"/>
    <cellStyle name="Normal 17" xfId="228" xr:uid="{44F8A751-6E88-4049-9304-65AE3BE3FEDB}"/>
    <cellStyle name="Normal 17 2" xfId="534" xr:uid="{AAF00965-84CD-40AE-9F91-C6BB3D0D8934}"/>
    <cellStyle name="Normal 18" xfId="252" xr:uid="{7E35E0DC-FDDE-4C8B-8674-ABC0A3E674A8}"/>
    <cellStyle name="Normal 18 2" xfId="558" xr:uid="{93509B38-E9D8-43E8-B782-883CC3A399C2}"/>
    <cellStyle name="Normal 19" xfId="273" xr:uid="{8FB425CB-8EC4-469D-AED6-F34B76818629}"/>
    <cellStyle name="Normal 19 2" xfId="579" xr:uid="{00CAC2A5-D1A9-47BD-BBB0-58E73D7D2EDC}"/>
    <cellStyle name="Normal 2" xfId="11" xr:uid="{E9B00632-ACA2-4C65-8F0F-644F51C3AD34}"/>
    <cellStyle name="Normal 2 2" xfId="70" xr:uid="{827C3ABF-452D-441B-A067-0789CA3EE371}"/>
    <cellStyle name="Normal 2 3" xfId="251" xr:uid="{981613D2-A3FC-4328-8A21-319D96B80E20}"/>
    <cellStyle name="Normal 2 3 2" xfId="557" xr:uid="{B79CAC26-F5B1-45AE-BBD4-38F88190328C}"/>
    <cellStyle name="Normal 2 4" xfId="344" xr:uid="{AA69F1CE-2748-40FA-A2EF-016EE5D4ED4B}"/>
    <cellStyle name="Normal 20" xfId="294" xr:uid="{86C536F8-931C-4106-99F8-C03247DD7D4B}"/>
    <cellStyle name="Normal 20 2" xfId="600" xr:uid="{F129CCD4-A8E5-4665-BDE2-D311E42A225B}"/>
    <cellStyle name="Normal 21" xfId="316" xr:uid="{8B8639CA-97B9-4F1C-AA44-A992A58AF28B}"/>
    <cellStyle name="Normal 21 2" xfId="622" xr:uid="{A7C510BA-4E33-4BAF-AAF2-97FCDCD66957}"/>
    <cellStyle name="Normal 22" xfId="338" xr:uid="{2B251D17-716E-4752-87AA-48925BD0A1CE}"/>
    <cellStyle name="Normal 23" xfId="644" xr:uid="{CFA50666-8BB3-4082-B9AD-6E02098512ED}"/>
    <cellStyle name="Normal 24" xfId="647" xr:uid="{4DFDC38B-EC5F-47B1-ADD3-79522CEB0FC6}"/>
    <cellStyle name="Normal 3" xfId="6" xr:uid="{F1D76AB3-AFA7-42D2-9B55-13B659B30C43}"/>
    <cellStyle name="Normal 4" xfId="4" xr:uid="{F324F4B2-D942-462F-989F-BBE7D56CB864}"/>
    <cellStyle name="Normal 5" xfId="17" xr:uid="{96040E79-056C-4AAA-A16A-DAA36E3F36E1}"/>
    <cellStyle name="Normal 5 2" xfId="350" xr:uid="{D6706CA2-D5EE-4693-9867-6DDC65FCDA22}"/>
    <cellStyle name="Normal 6" xfId="21" xr:uid="{B0853660-C238-4315-94C6-D26603E5D4E9}"/>
    <cellStyle name="Normal 6 2" xfId="354" xr:uid="{B00A5D4F-0F23-411E-B1A5-7D06F4C97F8F}"/>
    <cellStyle name="Normal 7" xfId="23" xr:uid="{777B3DED-C08A-47B0-9807-8F5ED2E2E73D}"/>
    <cellStyle name="Normal 8" xfId="63" xr:uid="{4B5B8B9B-E0A7-497C-BAF5-B50B79B7BB3A}"/>
    <cellStyle name="Normal 8 2" xfId="374" xr:uid="{53B5AF45-8E91-4066-8BFB-1F5BD0BABACD}"/>
    <cellStyle name="Normal 9" xfId="68" xr:uid="{136C929C-8CB5-4820-911F-7E082AFAB057}"/>
    <cellStyle name="Normal 9 2" xfId="378" xr:uid="{1E6FD3A1-3914-4D44-8651-24F81F6F8615}"/>
    <cellStyle name="Notas 10" xfId="232" xr:uid="{0DDC0913-1195-402F-889A-16ECA462116F}"/>
    <cellStyle name="Notas 10 2" xfId="538" xr:uid="{0C0CE410-D024-4F9C-9285-12BCFF3215AB}"/>
    <cellStyle name="Notas 11" xfId="253" xr:uid="{1289B557-5FCE-4965-9DE7-990EAF3CD05B}"/>
    <cellStyle name="Notas 11 2" xfId="559" xr:uid="{58402836-344F-4345-8A09-E2D21A48E231}"/>
    <cellStyle name="Notas 12" xfId="274" xr:uid="{F7AA32A3-BEE8-4E55-998D-8D811D73B4EA}"/>
    <cellStyle name="Notas 12 2" xfId="580" xr:uid="{862290FC-1320-4231-93B5-75198FE78F40}"/>
    <cellStyle name="Notas 13" xfId="297" xr:uid="{B0A57F18-600B-4A19-88AB-DC9A8B5680AA}"/>
    <cellStyle name="Notas 13 2" xfId="603" xr:uid="{D31382DC-B334-4485-A36E-8D5E652DD154}"/>
    <cellStyle name="Notas 14" xfId="319" xr:uid="{396F5038-ACC1-4263-B6E4-0F33825240FE}"/>
    <cellStyle name="Notas 14 2" xfId="625" xr:uid="{447206B6-2DE9-4311-B3D1-1D066D3A70FC}"/>
    <cellStyle name="Notas 2" xfId="64" xr:uid="{E14FA88F-1917-43DC-866F-123EC7383E5B}"/>
    <cellStyle name="Notas 2 2" xfId="375" xr:uid="{62F8431D-66DE-4ACC-8278-32472F08198B}"/>
    <cellStyle name="Notas 3" xfId="76" xr:uid="{A99C1613-EF8D-4D93-ABBD-400103A3A5AB}"/>
    <cellStyle name="Notas 3 2" xfId="383" xr:uid="{1D825725-5930-49C5-9897-155399C72482}"/>
    <cellStyle name="Notas 4" xfId="97" xr:uid="{031D92C6-6B85-44EF-861F-E4484C5FC6EF}"/>
    <cellStyle name="Notas 4 2" xfId="404" xr:uid="{BAF3F108-D78C-49B9-91E8-509A270E3A2C}"/>
    <cellStyle name="Notas 5" xfId="119" xr:uid="{C69391A9-392D-4FB9-821C-1F4530AF449F}"/>
    <cellStyle name="Notas 5 2" xfId="426" xr:uid="{2F87DE00-5A5C-443F-9389-A069479A4B29}"/>
    <cellStyle name="Notas 6" xfId="140" xr:uid="{34FC6AFA-33CE-42FC-BE39-8BA4194D736B}"/>
    <cellStyle name="Notas 6 2" xfId="447" xr:uid="{4D199277-702C-4771-B31D-DF5A2F5E70EC}"/>
    <cellStyle name="Notas 7" xfId="161" xr:uid="{53594E0E-578E-4502-8865-26723E30D91F}"/>
    <cellStyle name="Notas 7 2" xfId="468" xr:uid="{69E4D884-9C2A-4430-ACD5-85DF385993EC}"/>
    <cellStyle name="Notas 8" xfId="185" xr:uid="{910E3881-9BA9-44F1-BDA9-9A8551114970}"/>
    <cellStyle name="Notas 8 2" xfId="492" xr:uid="{3FF82844-A908-40D4-AEBC-A1A68D81DB74}"/>
    <cellStyle name="Notas 9" xfId="205" xr:uid="{5E757EBC-429B-4816-A4BB-8245113D7A58}"/>
    <cellStyle name="Notas 9 2" xfId="512" xr:uid="{360DE2CC-858B-4216-BA78-C1406B1FC3A5}"/>
    <cellStyle name="Percent 2" xfId="227" xr:uid="{B4028488-4B2E-402E-A724-E1E51873B450}"/>
    <cellStyle name="Porcentaje" xfId="2" builtinId="5"/>
    <cellStyle name="Porcentaje 2" xfId="69" xr:uid="{E470F084-01F4-4FF0-BE1B-8E8B2CB25CA1}"/>
    <cellStyle name="Porcentaje 2 2" xfId="379" xr:uid="{AEEB8A65-2727-41E8-92A4-EB2B9A067E13}"/>
    <cellStyle name="Porcentaje 3" xfId="159" xr:uid="{40318220-44A2-40B3-8D29-AF81EDE1578D}"/>
    <cellStyle name="Porcentaje 3 2" xfId="466" xr:uid="{11754279-2716-41FC-B941-F5D08B72400B}"/>
    <cellStyle name="Porcentaje 4" xfId="184" xr:uid="{34660893-2A78-40C1-BFCC-D07B7FCCCFC1}"/>
    <cellStyle name="Porcentaje 4 2" xfId="491" xr:uid="{DE1FDD01-9C39-4CEE-88B6-076DF114B719}"/>
    <cellStyle name="Porcentaje 5" xfId="226" xr:uid="{4B2B5ABA-4386-41B6-B442-A5921F0C505E}"/>
    <cellStyle name="Porcentaje 5 2" xfId="533" xr:uid="{F5390BF6-DC89-4D79-A6B1-E6CF645F9720}"/>
    <cellStyle name="Porcentaje 6" xfId="231" xr:uid="{9403F963-2049-4BEF-8F25-698A20BEA3F9}"/>
    <cellStyle name="Porcentaje 6 2" xfId="537" xr:uid="{5DD9BE08-F371-4838-ABE8-2FA57C474664}"/>
    <cellStyle name="Porcentaje 7" xfId="296" xr:uid="{051D30EF-503A-45A1-B26F-E9B0D7D15A2D}"/>
    <cellStyle name="Porcentaje 7 2" xfId="602" xr:uid="{A9243D56-FF47-4BE4-A443-2A55ADDEB069}"/>
    <cellStyle name="Porcentaje 8" xfId="318" xr:uid="{98898EF8-6F7B-4D37-992F-94BB87273093}"/>
    <cellStyle name="Porcentaje 8 2" xfId="624" xr:uid="{60A00088-1A86-462A-A3BF-DAF35D1AFAE4}"/>
    <cellStyle name="Porcentaje 9" xfId="646" xr:uid="{76097683-3C4B-466F-B795-9E6D78E2347F}"/>
    <cellStyle name="Salida" xfId="33" builtinId="21" customBuiltin="1"/>
    <cellStyle name="Texto de advertencia" xfId="37" builtinId="11" customBuiltin="1"/>
    <cellStyle name="Texto explicativo" xfId="38" builtinId="53" customBuiltin="1"/>
    <cellStyle name="Título" xfId="24" builtinId="15" customBuiltin="1"/>
    <cellStyle name="Título 2" xfId="26" builtinId="17" customBuiltin="1"/>
    <cellStyle name="Título 3" xfId="27" builtinId="18" customBuiltin="1"/>
    <cellStyle name="Total" xfId="39" builtinId="25" customBuiltin="1"/>
  </cellStyles>
  <dxfs count="64"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</font>
      <numFmt numFmtId="0" formatCode="General"/>
      <alignment horizontal="general" vertical="distributed" textRotation="0" wrapText="0" indent="0" justifyLastLine="0" shrinkToFit="0" readingOrder="0"/>
    </dxf>
    <dxf>
      <font>
        <b/>
      </font>
      <numFmt numFmtId="0" formatCode="General"/>
      <alignment horizontal="general" vertical="distributed" textRotation="0" wrapText="0" indent="0" justifyLastLine="0" shrinkToFit="0" readingOrder="0"/>
    </dxf>
    <dxf>
      <numFmt numFmtId="166" formatCode="_(* #,##0.00_);_(* \(#,##0.00\);_(* \-??_);_(@_)"/>
    </dxf>
    <dxf>
      <border outline="0">
        <left style="double">
          <color indexed="8"/>
        </left>
        <right style="medium">
          <color indexed="8"/>
        </right>
        <top style="double">
          <color indexed="8"/>
        </top>
        <bottom style="double">
          <color indexed="8"/>
        </bottom>
      </border>
    </dxf>
    <dxf>
      <border outline="0">
        <bottom style="thin">
          <color indexed="8"/>
        </bottom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87" formatCode="_-[$$-1C0A]* #,##0.00_ ;_-[$$-1C0A]* \-#,##0.00\ ;_-[$$-1C0A]* &quot;-&quot;??_ ;_-@_ "/>
    </dxf>
    <dxf>
      <numFmt numFmtId="187" formatCode="_-[$$-1C0A]* #,##0.00_ ;_-[$$-1C0A]* \-#,##0.00\ ;_-[$$-1C0A]* &quot;-&quot;??_ ;_-@_ "/>
    </dxf>
    <dxf>
      <numFmt numFmtId="187" formatCode="_-[$$-1C0A]* #,##0.00_ ;_-[$$-1C0A]* \-#,##0.00\ ;_-[$$-1C0A]* &quot;-&quot;??_ ;_-@_ "/>
    </dxf>
    <dxf>
      <numFmt numFmtId="187" formatCode="_-[$$-1C0A]* #,##0.00_ ;_-[$$-1C0A]* \-#,##0.00\ ;_-[$$-1C0A]* &quot;-&quot;??_ ;_-@_ "/>
    </dxf>
    <dxf>
      <numFmt numFmtId="187" formatCode="_-[$$-1C0A]* #,##0.00_ ;_-[$$-1C0A]* \-#,##0.00\ ;_-[$$-1C0A]* &quot;-&quot;??_ ;_-@_ "/>
    </dxf>
    <dxf>
      <numFmt numFmtId="187" formatCode="_-[$$-1C0A]* #,##0.00_ ;_-[$$-1C0A]* \-#,##0.00\ ;_-[$$-1C0A]* &quot;-&quot;??_ ;_-@_ "/>
    </dxf>
    <dxf>
      <numFmt numFmtId="186" formatCode="_-* #,##0.00\ _€_-;\-* #,##0.00\ _€_-;_-* &quot;-&quot;??\ _€_-;_-@_-"/>
    </dxf>
    <dxf>
      <numFmt numFmtId="186" formatCode="_-* #,##0.00\ _€_-;\-* #,##0.00\ _€_-;_-* &quot;-&quot;??\ _€_-;_-@_-"/>
    </dxf>
    <dxf>
      <numFmt numFmtId="186" formatCode="_-* #,##0.00\ _€_-;\-* #,##0.00\ _€_-;_-* &quot;-&quot;??\ _€_-;_-@_-"/>
    </dxf>
    <dxf>
      <numFmt numFmtId="186" formatCode="_-* #,##0.00\ _€_-;\-* #,##0.00\ _€_-;_-* &quot;-&quot;??\ _€_-;_-@_-"/>
    </dxf>
    <dxf>
      <numFmt numFmtId="186" formatCode="_-* #,##0.00\ _€_-;\-* #,##0.00\ _€_-;_-* &quot;-&quot;??\ _€_-;_-@_-"/>
    </dxf>
    <dxf>
      <numFmt numFmtId="186" formatCode="_-* #,##0.00\ _€_-;\-* #,##0.0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alignment horizontal="general" vertical="bottom" textRotation="0" wrapText="1" indent="0" justifyLastLine="0" shrinkToFit="0" readingOrder="0"/>
    </dxf>
    <dxf>
      <numFmt numFmtId="186" formatCode="_-* #,##0.00\ _€_-;\-* #,##0.00\ _€_-;_-* &quot;-&quot;??\ _€_-;_-@_-"/>
    </dxf>
    <dxf>
      <numFmt numFmtId="186" formatCode="_-* #,##0.00\ _€_-;\-* #,##0.00\ _€_-;_-* &quot;-&quot;??\ _€_-;_-@_-"/>
    </dxf>
    <dxf>
      <numFmt numFmtId="186" formatCode="_-* #,##0.00\ _€_-;\-* #,##0.00\ _€_-;_-* &quot;-&quot;??\ _€_-;_-@_-"/>
    </dxf>
    <dxf>
      <numFmt numFmtId="186" formatCode="_-* #,##0.00\ _€_-;\-* #,##0.00\ _€_-;_-* &quot;-&quot;??\ _€_-;_-@_-"/>
    </dxf>
    <dxf>
      <numFmt numFmtId="186" formatCode="_-* #,##0.00\ _€_-;\-* #,##0.00\ _€_-;_-* &quot;-&quot;??\ _€_-;_-@_-"/>
    </dxf>
    <dxf>
      <numFmt numFmtId="186" formatCode="_-* #,##0.00\ _€_-;\-* #,##0.0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numFmt numFmtId="187" formatCode="_-[$$-1C0A]* #,##0.00_ ;_-[$$-1C0A]* \-#,##0.00\ ;_-[$$-1C0A]* &quot;-&quot;??_ ;_-@_ "/>
    </dxf>
    <dxf>
      <numFmt numFmtId="187" formatCode="_-[$$-1C0A]* #,##0.00_ ;_-[$$-1C0A]* \-#,##0.00\ ;_-[$$-1C0A]* &quot;-&quot;??_ ;_-@_ "/>
    </dxf>
    <dxf>
      <alignment horizontal="general" vertical="distributed" textRotation="0" wrapText="0" indent="0" justifyLastLine="0" shrinkToFit="0" readingOrder="0"/>
    </dxf>
    <dxf>
      <alignment horizontal="general" vertical="distributed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FACTURACION!$C$24</c:f>
              <c:strCache>
                <c:ptCount val="1"/>
                <c:pt idx="0">
                  <c:v>Facturacion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FACTURACION!$B$25:$B$27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FACTURACION!$C$25:$C$27</c:f>
              <c:numCache>
                <c:formatCode>_-[$$-1C0A]* #,##0.00_ ;_-[$$-1C0A]* \-#,##0.00\ ;_-[$$-1C0A]* "-"??_ ;_-@_ </c:formatCode>
                <c:ptCount val="3"/>
                <c:pt idx="0">
                  <c:v>192510380.10002229</c:v>
                </c:pt>
                <c:pt idx="1">
                  <c:v>192091195.76002157</c:v>
                </c:pt>
                <c:pt idx="2">
                  <c:v>193498114.52002168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3-4B29-8A63-C1ABBF448A61}"/>
            </c:ext>
          </c:extLst>
        </c:ser>
        <c:ser>
          <c:idx val="1"/>
          <c:order val="1"/>
          <c:tx>
            <c:strRef>
              <c:f>FACTURACION!$D$24</c:f>
              <c:strCache>
                <c:ptCount val="1"/>
                <c:pt idx="0">
                  <c:v>Recaudo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FACTURACION!$B$25:$B$27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FACTURACION!$D$25:$D$27</c:f>
              <c:numCache>
                <c:formatCode>_-[$$-1C0A]* #,##0.00_ ;_-[$$-1C0A]* \-#,##0.00\ ;_-[$$-1C0A]* "-"??_ ;_-@_ </c:formatCode>
                <c:ptCount val="3"/>
                <c:pt idx="0">
                  <c:v>115921750.2999872</c:v>
                </c:pt>
                <c:pt idx="1">
                  <c:v>124914807.53000051</c:v>
                </c:pt>
                <c:pt idx="2">
                  <c:v>127892772.39999759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3-4B29-8A63-C1ABBF448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95810431"/>
        <c:axId val="1495811871"/>
        <c:axId val="0"/>
      </c:bar3DChart>
      <c:catAx>
        <c:axId val="149581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495811871"/>
        <c:crosses val="autoZero"/>
        <c:auto val="1"/>
        <c:lblAlgn val="ctr"/>
        <c:lblOffset val="100"/>
        <c:noMultiLvlLbl val="0"/>
      </c:catAx>
      <c:valAx>
        <c:axId val="1495811871"/>
        <c:scaling>
          <c:orientation val="minMax"/>
        </c:scaling>
        <c:delete val="1"/>
        <c:axPos val="l"/>
        <c:numFmt formatCode="_-[$$-1C0A]* #,##0.00_ ;_-[$$-1C0A]* \-#,##0.00\ ;_-[$$-1C0A]* &quot;-&quot;??_ ;_-@_ " sourceLinked="1"/>
        <c:majorTickMark val="none"/>
        <c:minorTickMark val="none"/>
        <c:tickLblPos val="nextTo"/>
        <c:crossAx val="149581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>
                <a:solidFill>
                  <a:schemeClr val="accent1">
                    <a:lumMod val="50000"/>
                  </a:schemeClr>
                </a:solidFill>
              </a:rPr>
              <a:t>Produccion</a:t>
            </a:r>
            <a:r>
              <a:rPr lang="es-MX" sz="1600" b="1" baseline="0">
                <a:solidFill>
                  <a:schemeClr val="accent1">
                    <a:lumMod val="50000"/>
                  </a:schemeClr>
                </a:solidFill>
              </a:rPr>
              <a:t> de Agua 2024</a:t>
            </a:r>
          </a:p>
          <a:p>
            <a:pPr>
              <a:defRPr sz="1600" b="1">
                <a:solidFill>
                  <a:schemeClr val="accent1">
                    <a:lumMod val="50000"/>
                  </a:schemeClr>
                </a:solidFill>
              </a:defRPr>
            </a:pPr>
            <a:r>
              <a:rPr lang="es-MX" sz="1600" b="1" baseline="0">
                <a:solidFill>
                  <a:schemeClr val="accent1">
                    <a:lumMod val="50000"/>
                  </a:schemeClr>
                </a:solidFill>
              </a:rPr>
              <a:t>Promedio diario anualizado</a:t>
            </a:r>
          </a:p>
          <a:p>
            <a:pPr>
              <a:defRPr sz="1600" b="1">
                <a:solidFill>
                  <a:schemeClr val="accent1">
                    <a:lumMod val="50000"/>
                  </a:schemeClr>
                </a:solidFill>
              </a:defRPr>
            </a:pPr>
            <a:r>
              <a:rPr lang="es-MX" sz="1600" b="1" baseline="0">
                <a:solidFill>
                  <a:schemeClr val="accent1">
                    <a:lumMod val="50000"/>
                  </a:schemeClr>
                </a:solidFill>
              </a:rPr>
              <a:t>Valores en MGD</a:t>
            </a:r>
            <a:r>
              <a:rPr lang="es-MX" sz="1600" b="1">
                <a:solidFill>
                  <a:schemeClr val="accent1">
                    <a:lumMod val="50000"/>
                  </a:schemeClr>
                </a:solidFill>
              </a:rPr>
              <a:t> </a:t>
            </a:r>
          </a:p>
        </c:rich>
      </c:tx>
      <c:layout>
        <c:manualLayout>
          <c:xMode val="edge"/>
          <c:yMode val="edge"/>
          <c:x val="0.28601068616090486"/>
          <c:y val="4.302708775391486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3333333333333332E-3"/>
                  <c:y val="-7.4074074074074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23-4324-B73F-BB8E2B9F4CCA}"/>
                </c:ext>
              </c:extLst>
            </c:dLbl>
            <c:dLbl>
              <c:idx val="1"/>
              <c:layout>
                <c:manualLayout>
                  <c:x val="0"/>
                  <c:y val="-6.018518518518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23-4324-B73F-BB8E2B9F4CCA}"/>
                </c:ext>
              </c:extLst>
            </c:dLbl>
            <c:dLbl>
              <c:idx val="2"/>
              <c:layout>
                <c:manualLayout>
                  <c:x val="-3.3647153734885318E-2"/>
                  <c:y val="-6.84372934403340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513779527559061E-2"/>
                      <c:h val="6.47455526392534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623-4324-B73F-BB8E2B9F4CCA}"/>
                </c:ext>
              </c:extLst>
            </c:dLbl>
            <c:dLbl>
              <c:idx val="3"/>
              <c:layout>
                <c:manualLayout>
                  <c:x val="-2.185426663572148E-2"/>
                  <c:y val="-5.3214343672595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23-4324-B73F-BB8E2B9F4CCA}"/>
                </c:ext>
              </c:extLst>
            </c:dLbl>
            <c:dLbl>
              <c:idx val="4"/>
              <c:layout>
                <c:manualLayout>
                  <c:x val="-3.6324785917347668E-2"/>
                  <c:y val="-8.6054175507829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63-42B9-A755-3E125E8FBAC8}"/>
                </c:ext>
              </c:extLst>
            </c:dLbl>
            <c:dLbl>
              <c:idx val="5"/>
              <c:layout>
                <c:manualLayout>
                  <c:x val="-5.3276352678776583E-2"/>
                  <c:y val="-8.1751466732438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96-4133-90B2-D93938F1A08D}"/>
                </c:ext>
              </c:extLst>
            </c:dLbl>
            <c:dLbl>
              <c:idx val="6"/>
              <c:layout>
                <c:manualLayout>
                  <c:x val="-2.9059828733878135E-2"/>
                  <c:y val="-9.4659593058612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5E-4D54-99DA-D58302CE1EDE}"/>
                </c:ext>
              </c:extLst>
            </c:dLbl>
            <c:dLbl>
              <c:idx val="7"/>
              <c:layout>
                <c:manualLayout>
                  <c:x val="-2.4216523944898444E-2"/>
                  <c:y val="-6.8843340406263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5E-4D54-99DA-D58302CE1EDE}"/>
                </c:ext>
              </c:extLst>
            </c:dLbl>
            <c:dLbl>
              <c:idx val="8"/>
              <c:layout>
                <c:manualLayout>
                  <c:x val="0"/>
                  <c:y val="-7.31460491816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49-4A04-A14E-756A811D42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extLst>
                <c:ext xmlns:c15="http://schemas.microsoft.com/office/drawing/2012/chart" uri="{02D57815-91ED-43cb-92C2-25804820EDAC}">
                  <c15:fullRef>
                    <c15:sqref>'Producción MGD'!$A$64:$A$75</c15:sqref>
                  </c15:fullRef>
                </c:ext>
              </c:extLst>
              <c:f>'Producción MGD'!$A$64:$A$72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'Producción MGD'!$B$64:$B$75</c15:sqref>
                  </c15:fullRef>
                </c:ext>
              </c:extLst>
              <c:f>'Producción MGD'!$B$64:$B$72</c:f>
              <c:numCache>
                <c:formatCode>_(* #,##0.00_);_(* \(#,##0.00\);_(* \-??_);_(@_)</c:formatCode>
                <c:ptCount val="9"/>
                <c:pt idx="0">
                  <c:v>469.29309677419349</c:v>
                </c:pt>
                <c:pt idx="1">
                  <c:v>458.72562068965522</c:v>
                </c:pt>
                <c:pt idx="2">
                  <c:v>426.67480645161294</c:v>
                </c:pt>
                <c:pt idx="3">
                  <c:v>422.05179999999996</c:v>
                </c:pt>
                <c:pt idx="4">
                  <c:v>433.18499999999995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3-4324-B73F-BB8E2B9F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580288"/>
        <c:axId val="1483577888"/>
      </c:lineChart>
      <c:dateAx>
        <c:axId val="1483580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83577888"/>
        <c:crosses val="autoZero"/>
        <c:auto val="1"/>
        <c:lblOffset val="100"/>
        <c:baseTimeUnit val="months"/>
      </c:dateAx>
      <c:valAx>
        <c:axId val="148357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\-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83580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gency FB"/>
                <a:ea typeface="Agency FB"/>
                <a:cs typeface="Agency FB"/>
              </a:defRPr>
            </a:pPr>
            <a:r>
              <a:rPr lang="es-MX"/>
              <a:t>SITUACION DE LAS AGUAS RESIDUALES
M3/DIA</a:t>
            </a:r>
          </a:p>
        </c:rich>
      </c:tx>
      <c:layout>
        <c:manualLayout>
          <c:xMode val="edge"/>
          <c:yMode val="edge"/>
          <c:x val="0.19972499706193445"/>
          <c:y val="1.86909837851296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140550339998567"/>
          <c:y val="0.2005511811023622"/>
          <c:w val="0.73829374894281152"/>
          <c:h val="0.693974781868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'[2]DATOS PARA INFORME ONE 2019'!$C$53</c:f>
              <c:strCache>
                <c:ptCount val="1"/>
                <c:pt idx="0">
                  <c:v>M3/DIA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9FC-432E-9347-51AB4592C4E3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9FC-432E-9347-51AB4592C4E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gency FB"/>
                      <a:ea typeface="Agency FB"/>
                      <a:cs typeface="Agency FB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9FC-432E-9347-51AB4592C4E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gency FB"/>
                      <a:ea typeface="Agency FB"/>
                      <a:cs typeface="Agency FB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9FC-432E-9347-51AB4592C4E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gency FB"/>
                      <a:ea typeface="Agency FB"/>
                      <a:cs typeface="Agency FB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9FC-432E-9347-51AB4592C4E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gency FB"/>
                    <a:ea typeface="Agency FB"/>
                    <a:cs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'[2]DATOS PARA INFORME ONE 2019'!$B$54:$B$56</c:f>
              <c:strCache>
                <c:ptCount val="3"/>
                <c:pt idx="0">
                  <c:v>PRODUCCION AGUA RESIDUALES MUNICIPALES</c:v>
                </c:pt>
                <c:pt idx="1">
                  <c:v>CANTIDAD DE AGUA RESIDUAL MUNICIPAL RECOLECTADA</c:v>
                </c:pt>
                <c:pt idx="2">
                  <c:v>CANTIDAD DE AGUA RESIDUAL MUNICIPAL TRATADA</c:v>
                </c:pt>
              </c:strCache>
            </c:strRef>
          </c:cat>
          <c:val>
            <c:numRef>
              <c:f>'[2]DATOS PARA INFORME ONE 2019'!$C$54:$C$56</c:f>
              <c:numCache>
                <c:formatCode>General</c:formatCode>
                <c:ptCount val="3"/>
                <c:pt idx="0">
                  <c:v>888815.59999999963</c:v>
                </c:pt>
                <c:pt idx="1">
                  <c:v>232459.128</c:v>
                </c:pt>
                <c:pt idx="2">
                  <c:v>182994.8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FC-432E-9347-51AB4592C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7392143"/>
        <c:axId val="1"/>
      </c:barChart>
      <c:catAx>
        <c:axId val="1917392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gency FB"/>
                <a:ea typeface="Agency FB"/>
                <a:cs typeface="Agency FB"/>
              </a:defRPr>
            </a:pPr>
            <a:endParaRPr lang="es-MX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gency FB"/>
                    <a:ea typeface="Agency FB"/>
                    <a:cs typeface="Agency FB"/>
                  </a:defRPr>
                </a:pPr>
                <a:r>
                  <a:rPr lang="es-MX"/>
                  <a:t>VALOR EN M3/DIA</a:t>
                </a:r>
              </a:p>
            </c:rich>
          </c:tx>
          <c:layout>
            <c:manualLayout>
              <c:xMode val="edge"/>
              <c:yMode val="edge"/>
              <c:x val="9.0909076663924476E-2"/>
              <c:y val="0.726301840728406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gency FB"/>
                <a:ea typeface="Agency FB"/>
                <a:cs typeface="Agency FB"/>
              </a:defRPr>
            </a:pPr>
            <a:endParaRPr lang="es-MX"/>
          </a:p>
        </c:txPr>
        <c:crossAx val="1917392143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val="FFFFFF"/>
        </a:gs>
        <a:gs pos="100000">
          <a:srgbClr val="C0C0C0"/>
        </a:gs>
      </a:gsLst>
      <a:lin ang="16200000" scaled="1"/>
    </a:gradFill>
    <a:ln w="3175">
      <a:solidFill>
        <a:srgbClr val="99CC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6"/>
      <c:hPercent val="9"/>
      <c:rotY val="19"/>
      <c:depthPercent val="100"/>
      <c:rAngAx val="1"/>
    </c:view3D>
    <c:floor>
      <c:thickness val="0"/>
      <c:spPr>
        <a:noFill/>
        <a:ln w="3175">
          <a:solidFill>
            <a:srgbClr val="80808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40481273554489527"/>
          <c:y val="1.3649216956986058E-3"/>
          <c:w val="0.46284533050063209"/>
          <c:h val="0.96343972834954428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682-4BE5-AA3B-830E5BA460A9}"/>
              </c:ext>
            </c:extLst>
          </c:dPt>
          <c:dPt>
            <c:idx val="1"/>
            <c:invertIfNegative val="0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682-4BE5-AA3B-830E5BA460A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682-4BE5-AA3B-830E5BA460A9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000000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682-4BE5-AA3B-830E5BA460A9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682-4BE5-AA3B-830E5BA460A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682-4BE5-AA3B-830E5BA460A9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682-4BE5-AA3B-830E5BA460A9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682-4BE5-AA3B-830E5BA460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'[2]DATOS PARA INFORME ONE 2019'!$B$128:$B$131</c:f>
              <c:strCache>
                <c:ptCount val="4"/>
                <c:pt idx="0">
                  <c:v>CANTIDAD DE AGUA RESIDUALDOMESTICA</c:v>
                </c:pt>
                <c:pt idx="1">
                  <c:v>CANTIDAD DE AGUA RESIDUALES DOMESTICAS COLECTADA EN EL SISTEMA DE ALCANTARILLADO</c:v>
                </c:pt>
                <c:pt idx="2">
                  <c:v>CAPACIDAD INSTALADA</c:v>
                </c:pt>
                <c:pt idx="3">
                  <c:v>CANTIDAD DE AGUA RESIDUAL DOMESTICA TRATADA</c:v>
                </c:pt>
              </c:strCache>
            </c:strRef>
          </c:cat>
          <c:val>
            <c:numRef>
              <c:f>'[2]DATOS PARA INFORME ONE 2019'!$C$128:$C$131</c:f>
              <c:numCache>
                <c:formatCode>General</c:formatCode>
                <c:ptCount val="4"/>
                <c:pt idx="0">
                  <c:v>790652.4</c:v>
                </c:pt>
                <c:pt idx="1">
                  <c:v>90332.06</c:v>
                </c:pt>
                <c:pt idx="2">
                  <c:v>64960</c:v>
                </c:pt>
                <c:pt idx="3">
                  <c:v>21960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82-4BE5-AA3B-830E5BA46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32522879"/>
        <c:axId val="1"/>
        <c:axId val="0"/>
      </c:bar3DChart>
      <c:catAx>
        <c:axId val="193252287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93252287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gency FB"/>
                <a:ea typeface="Agency FB"/>
                <a:cs typeface="Agency FB"/>
              </a:defRPr>
            </a:pPr>
            <a:r>
              <a:rPr lang="es-MX"/>
              <a:t>SITUACION DEL TRATAMIENTO DE LAS AGUAS RESIDUALES
M3/DIA</a:t>
            </a:r>
          </a:p>
        </c:rich>
      </c:tx>
      <c:layout>
        <c:manualLayout>
          <c:xMode val="edge"/>
          <c:yMode val="edge"/>
          <c:x val="0.17492608962913092"/>
          <c:y val="2.8357330333708287E-2"/>
        </c:manualLayout>
      </c:layout>
      <c:overlay val="0"/>
      <c:spPr>
        <a:noFill/>
        <a:ln w="25400">
          <a:noFill/>
        </a:ln>
      </c:spPr>
    </c:title>
    <c:autoTitleDeleted val="0"/>
    <c:view3D>
      <c:rotX val="16"/>
      <c:hPercent val="500"/>
      <c:rotY val="19"/>
      <c:depthPercent val="100"/>
      <c:rAngAx val="1"/>
    </c:view3D>
    <c:floor>
      <c:thickness val="0"/>
      <c:spPr>
        <a:noFill/>
        <a:ln w="3175">
          <a:solidFill>
            <a:srgbClr val="80808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6646305197598518"/>
          <c:y val="0.25833661417322834"/>
          <c:w val="0.5159105616548525"/>
          <c:h val="0.658960208098987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'[2]DATOS PARA INFORME ONE 2019'!$C$71</c:f>
              <c:strCache>
                <c:ptCount val="1"/>
                <c:pt idx="0">
                  <c:v>M3/DIA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C51-478E-9797-CB10DC16EC04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C51-478E-9797-CB10DC16EC04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C51-478E-9797-CB10DC16EC04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C51-478E-9797-CB10DC16EC0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C51-478E-9797-CB10DC16EC04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C51-478E-9797-CB10DC16E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'[2]DATOS PARA INFORME ONE 2019'!$B$72:$B$75</c:f>
              <c:strCache>
                <c:ptCount val="4"/>
                <c:pt idx="0">
                  <c:v>PRODUCCION AGUA RESIDUALES MUNICIPALES</c:v>
                </c:pt>
                <c:pt idx="1">
                  <c:v>CANTIDAD DE AGUA RESIDUAL MUNICIPAL RECOLECTADA</c:v>
                </c:pt>
                <c:pt idx="2">
                  <c:v>CAPACIDAD INSTALADA</c:v>
                </c:pt>
                <c:pt idx="3">
                  <c:v>CANTIDAD DE AGUA RESIDUAL MUNICIPAL TRATADA</c:v>
                </c:pt>
              </c:strCache>
            </c:strRef>
          </c:cat>
          <c:val>
            <c:numRef>
              <c:f>'[2]DATOS PARA INFORME ONE 2019'!$C$72:$C$75</c:f>
              <c:numCache>
                <c:formatCode>General</c:formatCode>
                <c:ptCount val="4"/>
                <c:pt idx="0">
                  <c:v>1169152.02000591</c:v>
                </c:pt>
                <c:pt idx="1">
                  <c:v>113040.75958671262</c:v>
                </c:pt>
                <c:pt idx="2">
                  <c:v>64960</c:v>
                </c:pt>
                <c:pt idx="3">
                  <c:v>21960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6-7C51-478E-9797-CB10DC16E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15571727"/>
        <c:axId val="1"/>
        <c:axId val="0"/>
      </c:bar3DChart>
      <c:catAx>
        <c:axId val="1615571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gency FB"/>
                <a:ea typeface="Agency FB"/>
                <a:cs typeface="Agency FB"/>
              </a:defRPr>
            </a:pPr>
            <a:endParaRPr lang="es-MX"/>
          </a:p>
        </c:txPr>
        <c:crossAx val="1"/>
        <c:crossesAt val="0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in val="10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gency FB"/>
                <a:ea typeface="Agency FB"/>
                <a:cs typeface="Agency FB"/>
              </a:defRPr>
            </a:pPr>
            <a:endParaRPr lang="es-MX"/>
          </a:p>
        </c:txPr>
        <c:crossAx val="1615571727"/>
        <c:crosses val="autoZero"/>
        <c:crossBetween val="between"/>
        <c:majorUnit val="6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753954082877188"/>
          <c:y val="0.54251668541432319"/>
          <c:w val="6.1340241391759087E-2"/>
          <c:h val="3.16677915260592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gency FB"/>
              <a:ea typeface="Agency FB"/>
              <a:cs typeface="Agency FB"/>
            </a:defRPr>
          </a:pPr>
          <a:endParaRPr lang="es-MX"/>
        </a:p>
      </c:txPr>
    </c:legend>
    <c:plotVisOnly val="1"/>
    <c:dispBlanksAs val="gap"/>
    <c:showDLblsOverMax val="0"/>
  </c:chart>
  <c:spPr>
    <a:gradFill rotWithShape="0">
      <a:gsLst>
        <a:gs pos="0">
          <a:srgbClr val="FFE5E5"/>
        </a:gs>
        <a:gs pos="100000">
          <a:srgbClr val="FFA2A1"/>
        </a:gs>
      </a:gsLst>
      <a:lin ang="16200000" scaled="1"/>
    </a:gradFill>
    <a:ln w="3175">
      <a:solidFill>
        <a:srgbClr val="993366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84232000796129"/>
          <c:y val="1.3577075185261676E-3"/>
          <c:w val="0.67560059902364245"/>
          <c:h val="0.99626638127280864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666699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val>
            <c:numRef>
              <c:f>'[2]DATOS PARA INFORME ONE 2019'!$S$147:$S$155</c:f>
              <c:numCache>
                <c:formatCode>General</c:formatCode>
                <c:ptCount val="9"/>
                <c:pt idx="0">
                  <c:v>144228</c:v>
                </c:pt>
                <c:pt idx="1">
                  <c:v>147761.51999999999</c:v>
                </c:pt>
                <c:pt idx="2">
                  <c:v>151381.68</c:v>
                </c:pt>
                <c:pt idx="3">
                  <c:v>155090.64000000001</c:v>
                </c:pt>
                <c:pt idx="4">
                  <c:v>158890.32</c:v>
                </c:pt>
                <c:pt idx="5">
                  <c:v>162783.12</c:v>
                </c:pt>
                <c:pt idx="6">
                  <c:v>168238.8</c:v>
                </c:pt>
                <c:pt idx="7">
                  <c:v>191826.96</c:v>
                </c:pt>
                <c:pt idx="8">
                  <c:v>215397.36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6F-452E-A18C-C7413C548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572975"/>
        <c:axId val="1"/>
      </c:lineChart>
      <c:catAx>
        <c:axId val="16155729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615572975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671879932534205"/>
          <c:y val="0.49858130028828368"/>
          <c:w val="7.7467326893416733E-2"/>
          <c:h val="1.613355707585750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COMPORTAMIENTO DE LA GENERACION DE AGUAS RESIDUALES</a:t>
            </a:r>
          </a:p>
        </c:rich>
      </c:tx>
      <c:layout>
        <c:manualLayout>
          <c:xMode val="edge"/>
          <c:yMode val="edge"/>
          <c:x val="0.20441813339509032"/>
          <c:y val="4.5699336924989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65275014392142"/>
          <c:y val="0.48656089607808323"/>
          <c:w val="0.77492532865900643"/>
          <c:h val="0.38172180797286093"/>
        </c:manualLayout>
      </c:layout>
      <c:lineChart>
        <c:grouping val="stacked"/>
        <c:varyColors val="0"/>
        <c:ser>
          <c:idx val="0"/>
          <c:order val="0"/>
          <c:spPr>
            <a:ln w="38100">
              <a:solidFill>
                <a:srgbClr val="666699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'[2]DATOS PARA INFORME ONE 2019'!$R$161:$X$161</c:f>
              <c:numCache>
                <c:formatCode>General</c:formatCode>
                <c:ptCount val="7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</c:numCache>
            </c:numRef>
          </c:cat>
          <c:val>
            <c:numRef>
              <c:f>'[2]DATOS PARA INFORME ONE 2019'!$R$163:$X$163</c:f>
              <c:numCache>
                <c:formatCode>General</c:formatCode>
                <c:ptCount val="7"/>
                <c:pt idx="0">
                  <c:v>144228</c:v>
                </c:pt>
                <c:pt idx="1">
                  <c:v>162783.12</c:v>
                </c:pt>
                <c:pt idx="2">
                  <c:v>168238.8</c:v>
                </c:pt>
                <c:pt idx="3">
                  <c:v>181697.90400000004</c:v>
                </c:pt>
                <c:pt idx="4">
                  <c:v>191826.96</c:v>
                </c:pt>
                <c:pt idx="5">
                  <c:v>207173.11680000005</c:v>
                </c:pt>
                <c:pt idx="6">
                  <c:v>215397.36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7-4898-A920-E4EE00043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574223"/>
        <c:axId val="1"/>
      </c:lineChart>
      <c:catAx>
        <c:axId val="1615574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615574223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000000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F3F3F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SITUACION DEL TRATAMIENTO DE LAS AGUAS RESIDUALES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'[2]DATOS PARA INFORME ONE 2019'!$Q$59</c:f>
              <c:strCache>
                <c:ptCount val="1"/>
                <c:pt idx="0">
                  <c:v>PRODUCCION AGUA RESIDUALES MUNICIPALES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'[2]DATOS PARA INFORME ONE 2019'!$R$49</c:f>
              <c:strCache>
                <c:ptCount val="1"/>
                <c:pt idx="0">
                  <c:v>M3/DIA</c:v>
                </c:pt>
              </c:strCache>
            </c:strRef>
          </c:cat>
          <c:val>
            <c:numRef>
              <c:f>'[2]DATOS PARA INFORME ONE 2019'!$R$59</c:f>
              <c:numCache>
                <c:formatCode>General</c:formatCode>
                <c:ptCount val="1"/>
                <c:pt idx="0">
                  <c:v>928211.74873566208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4-43BE-A2F7-DC4FCCC4A830}"/>
            </c:ext>
          </c:extLst>
        </c:ser>
        <c:ser>
          <c:idx val="1"/>
          <c:order val="1"/>
          <c:tx>
            <c:strRef>
              <c:f>'[2]DATOS PARA INFORME ONE 2019'!$Q$60</c:f>
              <c:strCache>
                <c:ptCount val="1"/>
                <c:pt idx="0">
                  <c:v>CANTIDAD DE AGUA RESIDUAL MUNICIPAL RECOLECTADA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'[2]DATOS PARA INFORME ONE 2019'!$R$49</c:f>
              <c:strCache>
                <c:ptCount val="1"/>
                <c:pt idx="0">
                  <c:v>M3/DIA</c:v>
                </c:pt>
              </c:strCache>
            </c:strRef>
          </c:cat>
          <c:val>
            <c:numRef>
              <c:f>'[2]DATOS PARA INFORME ONE 2019'!$R$60</c:f>
              <c:numCache>
                <c:formatCode>General</c:formatCode>
                <c:ptCount val="1"/>
                <c:pt idx="0">
                  <c:v>359741.18400000001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4-43BE-A2F7-DC4FCCC4A830}"/>
            </c:ext>
          </c:extLst>
        </c:ser>
        <c:ser>
          <c:idx val="2"/>
          <c:order val="2"/>
          <c:tx>
            <c:strRef>
              <c:f>'[2]DATOS PARA INFORME ONE 2019'!$Q$61</c:f>
              <c:strCache>
                <c:ptCount val="1"/>
                <c:pt idx="0">
                  <c:v>CANTIDAD DE AGUA RESIDUAL MUNICIPAL TRATADA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'[2]DATOS PARA INFORME ONE 2019'!$R$49</c:f>
              <c:strCache>
                <c:ptCount val="1"/>
                <c:pt idx="0">
                  <c:v>M3/DIA</c:v>
                </c:pt>
              </c:strCache>
            </c:strRef>
          </c:cat>
          <c:val>
            <c:numRef>
              <c:f>'[2]DATOS PARA INFORME ONE 2019'!$R$61</c:f>
              <c:numCache>
                <c:formatCode>General</c:formatCode>
                <c:ptCount val="1"/>
                <c:pt idx="0">
                  <c:v>80144.709999999992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4-43BE-A2F7-DC4FCCC4A830}"/>
            </c:ext>
          </c:extLst>
        </c:ser>
        <c:ser>
          <c:idx val="3"/>
          <c:order val="3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'[2]DATOS PARA INFORME ONE 2019'!$R$49</c:f>
              <c:strCache>
                <c:ptCount val="1"/>
                <c:pt idx="0">
                  <c:v>M3/DIA</c:v>
                </c:pt>
              </c:strCache>
            </c:strRef>
          </c:cat>
          <c:val>
            <c:numRef>
              <c:f>'[2]DATOS PARA INFORME ONE 2019'!$Y$45</c:f>
              <c:numCache>
                <c:formatCode>General</c:formatCode>
                <c:ptCount val="1"/>
                <c:pt idx="0">
                  <c:v>8.6539072951081195E-2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4-43BE-A2F7-DC4FCCC4A8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14750079"/>
        <c:axId val="1"/>
      </c:barChart>
      <c:catAx>
        <c:axId val="16147500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F3F3F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F3F3F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61475007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F3F3F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SITUACION DEL TRATAMIENTO DE LAS AGUAS RESIDUALES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s-MX"/>
          </a:p>
        </c:rich>
      </c:tx>
      <c:layout>
        <c:manualLayout>
          <c:xMode val="edge"/>
          <c:yMode val="edge"/>
          <c:x val="0.37739388336651136"/>
          <c:y val="4.6203036988323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6347222222222223"/>
          <c:y val="0.19486111111111112"/>
          <c:w val="0.45727077865266841"/>
          <c:h val="0.52211909975437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'cobertura de alcantarillado san'!$D$43</c:f>
              <c:strCache>
                <c:ptCount val="1"/>
                <c:pt idx="0">
                  <c:v>VOLUMEN DE AGUA RESIDUALES GENERADOS POR LOS HABITANTES DE LA ZONA DE INFLUENCIA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'cobertura de alcantarillado san'!$F$43</c:f>
              <c:numCache>
                <c:formatCode>_(* #,##0.00_);_(* \(#,##0.00\);_(* \-??_);_(@_)</c:formatCode>
                <c:ptCount val="1"/>
                <c:pt idx="0">
                  <c:v>886189.66849953798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1C-416A-9847-86FD467626B6}"/>
            </c:ext>
          </c:extLst>
        </c:ser>
        <c:ser>
          <c:idx val="3"/>
          <c:order val="1"/>
          <c:tx>
            <c:strRef>
              <c:f>'cobertura de alcantarillado san'!$D$38</c:f>
              <c:strCache>
                <c:ptCount val="1"/>
                <c:pt idx="0">
                  <c:v>VOLUMEN DE AGUA RESIDUAL GENERADOS EN LAS ZONAS CON ACCESO AL SERVICIO DE RECOLECCION DE A. R. A TRAVES DEL ALCANTARILLADO SANITARIO</c:v>
                </c:pt>
              </c:strCache>
            </c:strRef>
          </c:tx>
          <c:spPr>
            <a:solidFill>
              <a:schemeClr val="accent4"/>
            </a:solidFill>
            <a:ln cmpd="sng"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'cobertura de alcantarillado san'!$F$38</c:f>
              <c:numCache>
                <c:formatCode>_(* #,##0.00_);_(* \(#,##0.00\);_(* \-??_);_(@_)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1C-416A-9847-86FD467626B6}"/>
            </c:ext>
          </c:extLst>
        </c:ser>
        <c:ser>
          <c:idx val="2"/>
          <c:order val="2"/>
          <c:tx>
            <c:strRef>
              <c:f>'cobertura de alcantarillado san'!$D$41</c:f>
              <c:strCache>
                <c:ptCount val="1"/>
                <c:pt idx="0">
                  <c:v>VOLUMEN DE AGUA RESIDUAL TRATADA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'cobertura de alcantarillado san'!$F$41</c:f>
              <c:numCache>
                <c:formatCode>_(* #,##0.00_);_(* \(#,##0.00\);_(* \-??_);_(@_)</c:formatCode>
                <c:ptCount val="1"/>
                <c:pt idx="0">
                  <c:v>88006.91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1C-416A-9847-86FD467626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27606783"/>
        <c:axId val="337811567"/>
      </c:barChart>
      <c:catAx>
        <c:axId val="327606783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Produccion</a:t>
                </a:r>
                <a:r>
                  <a:rPr lang="es-MX" baseline="0"/>
                  <a:t> Mes de Enero 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crossAx val="337811567"/>
        <c:crosses val="autoZero"/>
        <c:auto val="1"/>
        <c:lblAlgn val="ctr"/>
        <c:lblOffset val="100"/>
        <c:noMultiLvlLbl val="0"/>
      </c:catAx>
      <c:valAx>
        <c:axId val="337811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M3/DIA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_(* #,##0.00_);_(* \(#,##0.00\);_(* \-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760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solidFill>
                  <a:sysClr val="windowText" lastClr="000000"/>
                </a:solidFill>
              </a:rPr>
              <a:t>SITUACION DEL TRATAMIENTO DE LAS AGUAS RESIDUALES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900" b="0" i="0" u="none" strike="noStrike" kern="1200" spc="0" baseline="0">
                <a:solidFill>
                  <a:sysClr val="windowText" lastClr="000000"/>
                </a:solidFill>
              </a:rPr>
              <a:t>Valores presentados en M3/dia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s-MX"/>
          </a:p>
        </c:rich>
      </c:tx>
      <c:layout>
        <c:manualLayout>
          <c:xMode val="edge"/>
          <c:yMode val="edge"/>
          <c:x val="0.20456679253656268"/>
          <c:y val="4.35897347890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2139157242861893"/>
          <c:y val="0.19693242180155188"/>
          <c:w val="0.75316624906526863"/>
          <c:h val="0.38455436376466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'cobertura de alcantarillado san'!$D$133</c:f>
              <c:strCache>
                <c:ptCount val="1"/>
                <c:pt idx="0">
                  <c:v>VOLUMEN DE AGUA RESIDUALES GENERADOS POR LOS HABITANTES DE LA ZONA DE INFLUENCIA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'cobertura de alcantarillado san'!$E$132</c:f>
              <c:strCache>
                <c:ptCount val="1"/>
                <c:pt idx="0">
                  <c:v>M3/DIA</c:v>
                </c:pt>
              </c:strCache>
            </c:strRef>
          </c:cat>
          <c:val>
            <c:numRef>
              <c:f>'cobertura de alcantarillado san'!$E$133</c:f>
              <c:numCache>
                <c:formatCode>_(* #,##0.00_);_(* \(#,##0.00\);_(* \-??_);_(@_)</c:formatCode>
                <c:ptCount val="1"/>
                <c:pt idx="0">
                  <c:v>880609.85166666668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0-4613-B18E-500EA6CD03A1}"/>
            </c:ext>
          </c:extLst>
        </c:ser>
        <c:ser>
          <c:idx val="1"/>
          <c:order val="1"/>
          <c:tx>
            <c:strRef>
              <c:f>'cobertura de alcantarillado san'!$D$134</c:f>
              <c:strCache>
                <c:ptCount val="1"/>
                <c:pt idx="0">
                  <c:v>VOLUMEN DE AGUA RESIDUAL GENERADOS EN LAS ZONAS CON ACCESO AL SERVICIO DE RECOLECCION DE A. R. A TRAVES DEL ALCANTARILLADO SANITARIO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50-4613-B18E-500EA6CD03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'cobertura de alcantarillado san'!$E$132</c:f>
              <c:strCache>
                <c:ptCount val="1"/>
                <c:pt idx="0">
                  <c:v>M3/DIA</c:v>
                </c:pt>
              </c:strCache>
            </c:strRef>
          </c:cat>
          <c:val>
            <c:numRef>
              <c:f>'cobertura de alcantarillado san'!$E$134</c:f>
              <c:numCache>
                <c:formatCode>_(* #,##0.00_);_(* \(#,##0.00\);_(* \-??_);_(@_)</c:formatCode>
                <c:ptCount val="1"/>
                <c:pt idx="0">
                  <c:v>308945.98800000001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50-4613-B18E-500EA6CD03A1}"/>
            </c:ext>
          </c:extLst>
        </c:ser>
        <c:ser>
          <c:idx val="2"/>
          <c:order val="2"/>
          <c:tx>
            <c:strRef>
              <c:f>'cobertura de alcantarillado san'!$D$135</c:f>
              <c:strCache>
                <c:ptCount val="1"/>
                <c:pt idx="0">
                  <c:v>VOLUMEN DE AGUA RESIDUAL TRATADA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'cobertura de alcantarillado san'!$E$132</c:f>
              <c:strCache>
                <c:ptCount val="1"/>
                <c:pt idx="0">
                  <c:v>M3/DIA</c:v>
                </c:pt>
              </c:strCache>
            </c:strRef>
          </c:cat>
          <c:val>
            <c:numRef>
              <c:f>'cobertura de alcantarillado san'!$E$135</c:f>
              <c:numCache>
                <c:formatCode>_(* #,##0.00_);_(* \(#,##0.00\);_(* \-??_);_(@_)</c:formatCode>
                <c:ptCount val="1"/>
                <c:pt idx="0">
                  <c:v>85155.91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50-4613-B18E-500EA6CD0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5"/>
        <c:overlap val="-2"/>
        <c:axId val="20731040"/>
        <c:axId val="20731520"/>
      </c:barChart>
      <c:catAx>
        <c:axId val="207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731520"/>
        <c:crosses val="autoZero"/>
        <c:auto val="1"/>
        <c:lblAlgn val="ctr"/>
        <c:lblOffset val="100"/>
        <c:noMultiLvlLbl val="0"/>
      </c:catAx>
      <c:valAx>
        <c:axId val="20731520"/>
        <c:scaling>
          <c:orientation val="minMax"/>
        </c:scaling>
        <c:delete val="1"/>
        <c:axPos val="l"/>
        <c:numFmt formatCode="_(* #,##0.00_);_(* \(#,##0.00\);_(* \-??_);_(@_)" sourceLinked="1"/>
        <c:majorTickMark val="none"/>
        <c:minorTickMark val="none"/>
        <c:tickLblPos val="nextTo"/>
        <c:crossAx val="2073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402984943149515E-2"/>
          <c:y val="0.58112667451510713"/>
          <c:w val="0.89535406559475361"/>
          <c:h val="0.358937440149921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0" i="0" u="none" strike="noStrike" kern="1200" spc="0" baseline="0">
                <a:solidFill>
                  <a:sysClr val="windowText" lastClr="000000"/>
                </a:solidFill>
              </a:rPr>
              <a:t>SITUACION DEL TRATAMIENTO DE LAS AGUAS RESIDUALES</a:t>
            </a:r>
            <a:br>
              <a:rPr lang="es-MX" sz="1400" b="0" i="0" u="none" strike="noStrike" kern="1200" spc="0" baseline="0">
                <a:solidFill>
                  <a:sysClr val="windowText" lastClr="000000"/>
                </a:solidFill>
              </a:rPr>
            </a:br>
            <a:r>
              <a:rPr lang="es-MX" sz="1400" b="0" i="0" u="none" strike="noStrike" kern="1200" spc="0" baseline="0">
                <a:solidFill>
                  <a:sysClr val="windowText" lastClr="000000"/>
                </a:solidFill>
              </a:rPr>
              <a:t>MAYO 2024 </a:t>
            </a:r>
          </a:p>
          <a:p>
            <a:pPr>
              <a:defRPr/>
            </a:pPr>
            <a:r>
              <a:rPr lang="es-DO" sz="1400" b="0" i="0" u="none" strike="noStrike" kern="1200" spc="0" baseline="0">
                <a:solidFill>
                  <a:sysClr val="windowText" lastClr="000000"/>
                </a:solidFill>
              </a:rPr>
              <a:t>Valores presentados en M3/dia</a:t>
            </a:r>
          </a:p>
          <a:p>
            <a:pPr>
              <a:defRPr/>
            </a:pP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339603120299595"/>
          <c:y val="0.19486111111111112"/>
          <c:w val="0.56220888013998249"/>
          <c:h val="0.6700309857101195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2426478582770748E-3"/>
                  <c:y val="-0.29637294967990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24-478E-AC3F-6469D6BB8E64}"/>
                </c:ext>
              </c:extLst>
            </c:dLbl>
            <c:dLbl>
              <c:idx val="1"/>
              <c:layout>
                <c:manualLayout>
                  <c:x val="-1.6666666666666666E-2"/>
                  <c:y val="-0.125000000000000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24-478E-AC3F-6469D6BB8E64}"/>
                </c:ext>
              </c:extLst>
            </c:dLbl>
            <c:dLbl>
              <c:idx val="2"/>
              <c:layout>
                <c:manualLayout>
                  <c:x val="-5.5555555555555558E-3"/>
                  <c:y val="-0.10185185185185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24-478E-AC3F-6469D6BB8E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'cobertura de alcantarillado san'!$F$133:$F$135</c:f>
              <c:strCache>
                <c:ptCount val="3"/>
                <c:pt idx="0">
                  <c:v>VOLUMEN DE AGUA RESIDUALES GENERADOS POR LOS HABITANTES DE LA ZONA DE INFLUENCIA</c:v>
                </c:pt>
                <c:pt idx="1">
                  <c:v>VOLUMEN DE AGUA RESIDUAL GENERADOS EN LAS ZONAS CON ACCESO AL SERVICIO DE RECOLECCION DE A. R. A TRAVES DEL ALCANTARILLADO SANITARIO</c:v>
                </c:pt>
                <c:pt idx="2">
                  <c:v>VOLUMEN DE AGUA RESIDUAL TRATADA</c:v>
                </c:pt>
              </c:strCache>
            </c:strRef>
          </c:cat>
          <c:val>
            <c:numRef>
              <c:f>'cobertura de alcantarillado san'!$G$133:$G$135</c:f>
              <c:numCache>
                <c:formatCode>#,##0.00</c:formatCode>
                <c:ptCount val="3"/>
                <c:pt idx="0" formatCode="_(* #,##0.00_);_(* \(#,##0.00\);_(* \-??_);_(@_)">
                  <c:v>880609.85166666668</c:v>
                </c:pt>
                <c:pt idx="1">
                  <c:v>308945.98800000001</c:v>
                </c:pt>
                <c:pt idx="2">
                  <c:v>85155.91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4-478E-AC3F-6469D6BB8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602288"/>
        <c:axId val="109602768"/>
      </c:barChart>
      <c:catAx>
        <c:axId val="10960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602768"/>
        <c:crosses val="autoZero"/>
        <c:auto val="1"/>
        <c:lblAlgn val="ctr"/>
        <c:lblOffset val="100"/>
        <c:noMultiLvlLbl val="0"/>
      </c:catAx>
      <c:valAx>
        <c:axId val="109602768"/>
        <c:scaling>
          <c:orientation val="minMax"/>
        </c:scaling>
        <c:delete val="1"/>
        <c:axPos val="l"/>
        <c:numFmt formatCode="_(* #,##0.00_);_(* \(#,##0.00\);_(* \-??_);_(@_)" sourceLinked="1"/>
        <c:majorTickMark val="none"/>
        <c:minorTickMark val="none"/>
        <c:tickLblPos val="nextTo"/>
        <c:crossAx val="10960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PRODUCCION MENSUAL </a:t>
            </a:r>
          </a:p>
        </c:rich>
      </c:tx>
      <c:layout>
        <c:manualLayout>
          <c:xMode val="edge"/>
          <c:yMode val="edge"/>
          <c:x val="0.38719106471844278"/>
          <c:y val="3.2847306828215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499999999999999E-2"/>
                  <c:y val="-6.9392758721221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A6-498B-8B45-7A1630466FB0}"/>
                </c:ext>
              </c:extLst>
            </c:dLbl>
            <c:dLbl>
              <c:idx val="1"/>
              <c:layout>
                <c:manualLayout>
                  <c:x val="-5.0000000000000037E-2"/>
                  <c:y val="5.9479507475332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A6-498B-8B45-7A1630466FB0}"/>
                </c:ext>
              </c:extLst>
            </c:dLbl>
            <c:dLbl>
              <c:idx val="2"/>
              <c:layout>
                <c:manualLayout>
                  <c:x val="-1.6666666666666666E-2"/>
                  <c:y val="-4.4609630606499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A6-498B-8B45-7A1630466F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'Producción MGD'!$D$8:$O$8</c15:sqref>
                  </c15:fullRef>
                </c:ext>
              </c:extLst>
              <c:f>'Producción MGD'!$D$8:$I$8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'Producción MGD'!$D$43:$O$43</c15:sqref>
                  </c15:fullRef>
                </c:ext>
              </c:extLst>
              <c:f>'Producción MGD'!$D$43:$I$43</c:f>
              <c:numCache>
                <c:formatCode>_(* #,##0.000_);_(* \(#,##0.000\);_(* \-??_);_(@_)</c:formatCode>
                <c:ptCount val="6"/>
                <c:pt idx="0">
                  <c:v>454.27696774193544</c:v>
                </c:pt>
                <c:pt idx="1">
                  <c:v>456.53082142857141</c:v>
                </c:pt>
                <c:pt idx="2">
                  <c:v>439.84967741935486</c:v>
                </c:pt>
                <c:pt idx="3">
                  <c:v>436.21510000000001</c:v>
                </c:pt>
                <c:pt idx="4">
                  <c:v>427.10174193548386</c:v>
                </c:pt>
                <c:pt idx="5" formatCode="_(* #,##0.00_);_(* \(#,##0.00\);_(* \-??_);_(@_)">
                  <c:v>443.10993333333334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'Producción MGD'!$O$43</c15:sqref>
                  <c15:dLbl>
                    <c:idx val="5"/>
                    <c:layout>
                      <c:manualLayout>
                        <c:x val="0"/>
                        <c:y val="5.947950747533289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3FA6-4DEC-A152-001163DCB0FE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4887-4E77-9872-3B2270284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8844591"/>
        <c:axId val="1918847471"/>
      </c:lineChart>
      <c:catAx>
        <c:axId val="191884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18847471"/>
        <c:crosses val="autoZero"/>
        <c:auto val="1"/>
        <c:lblAlgn val="ctr"/>
        <c:lblOffset val="100"/>
        <c:noMultiLvlLbl val="0"/>
      </c:catAx>
      <c:valAx>
        <c:axId val="1918847471"/>
        <c:scaling>
          <c:orientation val="minMax"/>
        </c:scaling>
        <c:delete val="0"/>
        <c:axPos val="l"/>
        <c:numFmt formatCode="_(* #,##0.000_);_(* \(#,##0.000\);_(* \-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18844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401023997596485"/>
          <c:y val="0.10818642461358997"/>
          <c:w val="0.78175579904363801"/>
          <c:h val="0.642183945756780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'Facturación con mora'!$P$5</c:f>
              <c:strCache>
                <c:ptCount val="1"/>
                <c:pt idx="0">
                  <c:v>FACTURACIÓN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'Facturación 23-25'!$A$9:$A$11</c:f>
              <c:numCache>
                <c:formatCode>mmm\-yy</c:formatCode>
                <c:ptCount val="3"/>
                <c:pt idx="0">
                  <c:v>45748</c:v>
                </c:pt>
                <c:pt idx="1">
                  <c:v>45778</c:v>
                </c:pt>
                <c:pt idx="2">
                  <c:v>45809</c:v>
                </c:pt>
              </c:numCache>
            </c:numRef>
          </c:cat>
          <c:val>
            <c:numRef>
              <c:f>'Facturación con mora'!$P$9:$P$11</c:f>
              <c:numCache>
                <c:formatCode>_(* #,##0.00_);_(* \(#,##0.00\);_(* "-"??_);_(@_)</c:formatCode>
                <c:ptCount val="3"/>
                <c:pt idx="0">
                  <c:v>284192131.14002287</c:v>
                </c:pt>
                <c:pt idx="1">
                  <c:v>288135467.74003357</c:v>
                </c:pt>
                <c:pt idx="2">
                  <c:v>290876889.35001093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C-4F1F-A7B7-0950589CCF69}"/>
            </c:ext>
          </c:extLst>
        </c:ser>
        <c:ser>
          <c:idx val="1"/>
          <c:order val="1"/>
          <c:tx>
            <c:strRef>
              <c:f>'Recaudación 23-25'!$N$5</c:f>
              <c:strCache>
                <c:ptCount val="1"/>
                <c:pt idx="0">
                  <c:v>RECAUDACION 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'Facturación 23-25'!$A$9:$A$11</c:f>
              <c:numCache>
                <c:formatCode>mmm\-yy</c:formatCode>
                <c:ptCount val="3"/>
                <c:pt idx="0">
                  <c:v>45748</c:v>
                </c:pt>
                <c:pt idx="1">
                  <c:v>45778</c:v>
                </c:pt>
                <c:pt idx="2">
                  <c:v>45809</c:v>
                </c:pt>
              </c:numCache>
            </c:numRef>
          </c:cat>
          <c:val>
            <c:numRef>
              <c:f>'Resumen comercial'!$AI$10:$AI$12</c:f>
              <c:numCache>
                <c:formatCode>_(* #,##0.00_);_(* \(#,##0.00\);_(* "-"??_);_(@_)</c:formatCode>
                <c:ptCount val="3"/>
                <c:pt idx="0">
                  <c:v>115921750.2999872</c:v>
                </c:pt>
                <c:pt idx="1">
                  <c:v>124914807.53000051</c:v>
                </c:pt>
                <c:pt idx="2">
                  <c:v>127892772.39999759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EE-4AB9-ABF5-CC4A9FA9B3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7552479"/>
        <c:axId val="127564479"/>
        <c:axId val="0"/>
      </c:bar3DChart>
      <c:dateAx>
        <c:axId val="12755247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7564479"/>
        <c:crosses val="autoZero"/>
        <c:auto val="1"/>
        <c:lblOffset val="100"/>
        <c:baseTimeUnit val="months"/>
      </c:dateAx>
      <c:valAx>
        <c:axId val="1275644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crossAx val="127552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536492068926167"/>
          <c:y val="0.10045700169831712"/>
          <c:w val="0.60399063223021709"/>
          <c:h val="0.533136933640870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'cobertura de alcantarillado san'!$D$43:$E$43</c:f>
              <c:strCache>
                <c:ptCount val="2"/>
                <c:pt idx="0">
                  <c:v>VOLUMEN DE AGUA RESIDUALES GENERADOS POR LOS HABITANTES DE LA ZONA DE INFLUENCIA</c:v>
                </c:pt>
                <c:pt idx="1">
                  <c:v>M3/DIA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'cobertura de alcantarillado san'!$I$31:$K$31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'cobertura de alcantarillado san'!$I$43:$K$43</c:f>
              <c:numCache>
                <c:formatCode>_(* #,##0.00_);_(* \(#,##0.00\);_(* \-??_);_(@_)</c:formatCode>
                <c:ptCount val="3"/>
                <c:pt idx="0">
                  <c:v>887960.86703751166</c:v>
                </c:pt>
                <c:pt idx="1">
                  <c:v>888551.26655016956</c:v>
                </c:pt>
                <c:pt idx="2">
                  <c:v>889141.66606282757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3-4CE3-BDFE-BA614AFD68C3}"/>
            </c:ext>
          </c:extLst>
        </c:ser>
        <c:ser>
          <c:idx val="1"/>
          <c:order val="1"/>
          <c:tx>
            <c:strRef>
              <c:f>'cobertura de alcantarillado san'!$D$38</c:f>
              <c:strCache>
                <c:ptCount val="1"/>
                <c:pt idx="0">
                  <c:v>VOLUMEN DE AGUA RESIDUAL GENERADOS EN LAS ZONAS CON ACCESO AL SERVICIO DE RECOLECCION DE A. R. A TRAVES DEL ALCANTARILLADO SANITARIO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'cobertura de alcantarillado san'!$I$31:$K$31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'cobertura de alcantarillado san'!$I$38:$K$38</c:f>
              <c:numCache>
                <c:formatCode>_(* #,##0.00_);_(* \(#,##0.00\);_(* \-??_);_(@_)</c:formatCode>
                <c:ptCount val="3"/>
                <c:pt idx="0">
                  <c:v>295026.04800000001</c:v>
                </c:pt>
                <c:pt idx="1">
                  <c:v>297771.07199999999</c:v>
                </c:pt>
                <c:pt idx="2">
                  <c:v>295939.20000000001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3-4CE3-BDFE-BA614AFD68C3}"/>
            </c:ext>
          </c:extLst>
        </c:ser>
        <c:ser>
          <c:idx val="2"/>
          <c:order val="2"/>
          <c:tx>
            <c:strRef>
              <c:f>'cobertura de alcantarillado san'!$D$41</c:f>
              <c:strCache>
                <c:ptCount val="1"/>
                <c:pt idx="0">
                  <c:v>VOLUMEN DE AGUA RESIDUAL TRATADA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'cobertura de alcantarillado san'!$I$31:$K$31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'cobertura de alcantarillado san'!$I$41:$K$41</c:f>
              <c:numCache>
                <c:formatCode>_(* #,##0.00_);_(* \(#,##0.00\);_(* \-??_);_(@_)</c:formatCode>
                <c:ptCount val="3"/>
                <c:pt idx="0">
                  <c:v>88006.91</c:v>
                </c:pt>
                <c:pt idx="1">
                  <c:v>88006.91</c:v>
                </c:pt>
                <c:pt idx="2">
                  <c:v>88006.91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3-4CE3-BDFE-BA614AFD68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6905551"/>
        <c:axId val="146906031"/>
        <c:axId val="0"/>
      </c:bar3DChart>
      <c:catAx>
        <c:axId val="1469055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6906031"/>
        <c:crosses val="autoZero"/>
        <c:auto val="1"/>
        <c:lblAlgn val="ctr"/>
        <c:lblOffset val="100"/>
        <c:noMultiLvlLbl val="0"/>
      </c:catAx>
      <c:valAx>
        <c:axId val="146906031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* #,##0.00_);_(* \(#,##0.00\);_(* \-??_);_(@_)" sourceLinked="1"/>
        <c:majorTickMark val="out"/>
        <c:minorTickMark val="none"/>
        <c:tickLblPos val="nextTo"/>
        <c:crossAx val="146905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989411781337025E-2"/>
          <c:y val="0.70779204114637195"/>
          <c:w val="0.92901055950067646"/>
          <c:h val="0.289297448270272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9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Hoja3!$G$48</c:f>
              <c:strCache>
                <c:ptCount val="1"/>
                <c:pt idx="0">
                  <c:v>VOLUMEN DE AGUA RESIDUALES GENERADOS POR LOS HABITANTES DE LA ZONA DE INFLUENCIA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Hoja3!$H$47:$J$47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Hoja3!$H$48:$J$48</c:f>
              <c:numCache>
                <c:formatCode>#,##0.00</c:formatCode>
                <c:ptCount val="3"/>
                <c:pt idx="0">
                  <c:v>882057.40833333321</c:v>
                </c:pt>
                <c:pt idx="1">
                  <c:v>882781.18666666665</c:v>
                </c:pt>
                <c:pt idx="2">
                  <c:v>883504.96499999985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2-4501-869D-D2B956F57776}"/>
            </c:ext>
          </c:extLst>
        </c:ser>
        <c:ser>
          <c:idx val="1"/>
          <c:order val="1"/>
          <c:tx>
            <c:strRef>
              <c:f>Hoja3!$G$49</c:f>
              <c:strCache>
                <c:ptCount val="1"/>
                <c:pt idx="0">
                  <c:v>VOLUMEN DE AGUA RESIDUAL GENERADOS EN LAS ZONAS CON ACCESO AL SERVICIO DE RECOLECCION DE A. R. A TRAVES DEL ALCANTARILLADO SANITARIO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Hoja3!$H$47:$J$47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Hoja3!$H$49:$J$49</c:f>
              <c:numCache>
                <c:formatCode>#,##0.00</c:formatCode>
                <c:ptCount val="3"/>
                <c:pt idx="0">
                  <c:v>308881.04399999994</c:v>
                </c:pt>
                <c:pt idx="1">
                  <c:v>308733.44399999996</c:v>
                </c:pt>
                <c:pt idx="2">
                  <c:v>309115.728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2-4501-869D-D2B956F57776}"/>
            </c:ext>
          </c:extLst>
        </c:ser>
        <c:ser>
          <c:idx val="2"/>
          <c:order val="2"/>
          <c:tx>
            <c:strRef>
              <c:f>Hoja3!$G$50</c:f>
              <c:strCache>
                <c:ptCount val="1"/>
                <c:pt idx="0">
                  <c:v>VOLUMEN DE AGUA RESIDUAL TRATADA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Hoja3!$H$47:$J$47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Hoja3!$H$50:$J$50</c:f>
              <c:numCache>
                <c:formatCode>#,##0.00</c:formatCode>
                <c:ptCount val="3"/>
                <c:pt idx="0">
                  <c:v>88006.91</c:v>
                </c:pt>
                <c:pt idx="1">
                  <c:v>88006.91</c:v>
                </c:pt>
                <c:pt idx="2">
                  <c:v>88006.91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42-4501-869D-D2B956F57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7743759"/>
        <c:axId val="227744239"/>
        <c:axId val="0"/>
      </c:bar3DChart>
      <c:catAx>
        <c:axId val="227743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7744239"/>
        <c:crosses val="autoZero"/>
        <c:auto val="1"/>
        <c:lblAlgn val="ctr"/>
        <c:lblOffset val="100"/>
        <c:noMultiLvlLbl val="0"/>
      </c:catAx>
      <c:valAx>
        <c:axId val="227744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7743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27</xdr:row>
      <xdr:rowOff>9525</xdr:rowOff>
    </xdr:from>
    <xdr:to>
      <xdr:col>4</xdr:col>
      <xdr:colOff>19050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84ED46-8F0D-95BB-9744-EC1B230482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67235</xdr:colOff>
      <xdr:row>73</xdr:row>
      <xdr:rowOff>398929</xdr:rowOff>
    </xdr:from>
    <xdr:to>
      <xdr:col>11</xdr:col>
      <xdr:colOff>571500</xdr:colOff>
      <xdr:row>82</xdr:row>
      <xdr:rowOff>448234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F7E902-E8BE-60A5-AAF3-3983F55D37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809625</xdr:colOff>
      <xdr:row>35</xdr:row>
      <xdr:rowOff>190500</xdr:rowOff>
    </xdr:from>
    <xdr:to>
      <xdr:col>17</xdr:col>
      <xdr:colOff>66675</xdr:colOff>
      <xdr:row>66</xdr:row>
      <xdr:rowOff>180975</xdr:rowOff>
    </xdr:to>
    <xdr:graphicFrame macro="">
      <xdr:nvGraphicFramePr>
        <xdr:cNvPr id="2" name="Gráfico 6">
          <a:extLst>
            <a:ext uri="{FF2B5EF4-FFF2-40B4-BE49-F238E27FC236}">
              <a16:creationId xmlns:a16="http://schemas.microsoft.com/office/drawing/2014/main" id="{7B449F6E-50EF-40C9-BA91-8C74AFC04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95</xdr:row>
      <xdr:rowOff>0</xdr:rowOff>
    </xdr:from>
    <xdr:to>
      <xdr:col>13</xdr:col>
      <xdr:colOff>0</xdr:colOff>
      <xdr:row>101</xdr:row>
      <xdr:rowOff>0</xdr:rowOff>
    </xdr:to>
    <xdr:graphicFrame macro="">
      <xdr:nvGraphicFramePr>
        <xdr:cNvPr id="3" name="Gráfico 7">
          <a:extLst>
            <a:ext uri="{FF2B5EF4-FFF2-40B4-BE49-F238E27FC236}">
              <a16:creationId xmlns:a16="http://schemas.microsoft.com/office/drawing/2014/main" id="{62429305-D98E-49F1-90A9-377943134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190500</xdr:rowOff>
    </xdr:from>
    <xdr:to>
      <xdr:col>4</xdr:col>
      <xdr:colOff>190500</xdr:colOff>
      <xdr:row>78</xdr:row>
      <xdr:rowOff>-15544800</xdr:rowOff>
    </xdr:to>
    <xdr:graphicFrame macro="">
      <xdr:nvGraphicFramePr>
        <xdr:cNvPr id="4" name="Gráfico 12">
          <a:extLst>
            <a:ext uri="{FF2B5EF4-FFF2-40B4-BE49-F238E27FC236}">
              <a16:creationId xmlns:a16="http://schemas.microsoft.com/office/drawing/2014/main" id="{36A522B4-7F8B-420F-8F42-31945F236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876300</xdr:colOff>
      <xdr:row>142</xdr:row>
      <xdr:rowOff>57150</xdr:rowOff>
    </xdr:from>
    <xdr:to>
      <xdr:col>15</xdr:col>
      <xdr:colOff>133350</xdr:colOff>
      <xdr:row>159</xdr:row>
      <xdr:rowOff>47625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A5211C15-E150-4E34-A934-8D17C37BA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1447800</xdr:colOff>
      <xdr:row>168</xdr:row>
      <xdr:rowOff>76200</xdr:rowOff>
    </xdr:from>
    <xdr:to>
      <xdr:col>9</xdr:col>
      <xdr:colOff>1000125</xdr:colOff>
      <xdr:row>185</xdr:row>
      <xdr:rowOff>57150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08CB936D-6063-41FD-86C5-269831A40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58</xdr:row>
      <xdr:rowOff>19050</xdr:rowOff>
    </xdr:from>
    <xdr:to>
      <xdr:col>12</xdr:col>
      <xdr:colOff>352425</xdr:colOff>
      <xdr:row>77</xdr:row>
      <xdr:rowOff>285750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1C1E6527-C39D-40C8-803D-A1C80F996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1232648</xdr:colOff>
      <xdr:row>69</xdr:row>
      <xdr:rowOff>168089</xdr:rowOff>
    </xdr:from>
    <xdr:to>
      <xdr:col>5</xdr:col>
      <xdr:colOff>1131796</xdr:colOff>
      <xdr:row>89</xdr:row>
      <xdr:rowOff>78442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0E195C1-91BD-1BA0-5251-E3E4F32791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224117</xdr:colOff>
      <xdr:row>135</xdr:row>
      <xdr:rowOff>22411</xdr:rowOff>
    </xdr:from>
    <xdr:to>
      <xdr:col>5</xdr:col>
      <xdr:colOff>134470</xdr:colOff>
      <xdr:row>146</xdr:row>
      <xdr:rowOff>134470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46AB5EFC-1E87-9819-4E2B-D0EB1E81F6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302558</xdr:colOff>
      <xdr:row>132</xdr:row>
      <xdr:rowOff>1</xdr:rowOff>
    </xdr:from>
    <xdr:to>
      <xdr:col>11</xdr:col>
      <xdr:colOff>593913</xdr:colOff>
      <xdr:row>135</xdr:row>
      <xdr:rowOff>44825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D508A95-3521-5180-B6C2-E556994BCE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1085850</xdr:colOff>
      <xdr:row>2</xdr:row>
      <xdr:rowOff>19048</xdr:rowOff>
    </xdr:from>
    <xdr:to>
      <xdr:col>6</xdr:col>
      <xdr:colOff>1571625</xdr:colOff>
      <xdr:row>14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58A7FF-5E46-444A-B797-0900B8094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38101</xdr:colOff>
      <xdr:row>17</xdr:row>
      <xdr:rowOff>85724</xdr:rowOff>
    </xdr:from>
    <xdr:to>
      <xdr:col>4</xdr:col>
      <xdr:colOff>742950</xdr:colOff>
      <xdr:row>30</xdr:row>
      <xdr:rowOff>28574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2B14AAC-F298-4C28-A375-A94B0AF3B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933450</xdr:colOff>
      <xdr:row>21</xdr:row>
      <xdr:rowOff>123825</xdr:rowOff>
    </xdr:from>
    <xdr:to>
      <xdr:col>11</xdr:col>
      <xdr:colOff>714374</xdr:colOff>
      <xdr:row>41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1AACB33-E18C-4BF4-9AB3-C00AEB587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166687</xdr:colOff>
      <xdr:row>47</xdr:row>
      <xdr:rowOff>352425</xdr:rowOff>
    </xdr:from>
    <xdr:to>
      <xdr:col>15</xdr:col>
      <xdr:colOff>547687</xdr:colOff>
      <xdr:row>59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D1CAB7F-E4F3-C9F4-4D2D-68A7C5CBE4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Direccion%20de%20Planificacion\PPP\Informes%20estadisticos\informes%20excel\Indicadores%202025\Marzo%20Copia%20de%20%20indicadores%202025.xlsx" TargetMode="External"/><Relationship Id="rId1" Type="http://schemas.openxmlformats.org/officeDocument/2006/relationships/externalLinkPath" Target="Marzo%20Copia%20de%20%20indicadore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asdgovdo-my.sharepoint.com/personal/juan_pascual_caasd_gob_do/Documents/Documentos/Escritorio/Nueva%20carpeta/2022/Copia%20de%20INDICADORES%202022%201.2.xls" TargetMode="External"/><Relationship Id="rId1" Type="http://schemas.openxmlformats.org/officeDocument/2006/relationships/externalLinkPath" Target="https://caasdgovdo-my.sharepoint.com/personal/juan_pascual_caasd_gob_do/Documents/Documentos/Escritorio/Nueva%20carpeta/2022/Copia%20de%20INDICADORES%202022%201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CTURACION"/>
      <sheetName val="Facturación 23-25"/>
      <sheetName val="Facturación con mora"/>
      <sheetName val="Recaudación 23-25"/>
      <sheetName val="Clientes agua 23-25"/>
      <sheetName val="Clientes alcantarillado 23-25"/>
      <sheetName val="Resumen Clientes "/>
      <sheetName val="UNIDADES AGUA 23 23-25"/>
      <sheetName val="UNIDADES ALCANTARILLADO 23-25"/>
      <sheetName val="Resumen comercial"/>
      <sheetName val="Consumo de agua x tipo cliente "/>
      <sheetName val="produccion m3 por seg-MENSUAL"/>
      <sheetName val="Prod M3"/>
      <sheetName val="Producción MG"/>
      <sheetName val="Producción MGD"/>
      <sheetName val="Laboratorio"/>
      <sheetName val="LABORATORIO POR GENERO"/>
      <sheetName val="Aguas Residuales Domésticas Rec"/>
      <sheetName val="cobertura de alcantarillado san"/>
      <sheetName val="pLANTAS DE TRATAMIENTO"/>
      <sheetName val="INDICADORES CAASD"/>
      <sheetName val="Hoja3"/>
      <sheetName val="CRECIMIENTO "/>
    </sheetNames>
    <sheetDataSet>
      <sheetData sheetId="0"/>
      <sheetData sheetId="1"/>
      <sheetData sheetId="2"/>
      <sheetData sheetId="3"/>
      <sheetData sheetId="4">
        <row r="17">
          <cell r="N17">
            <v>419555</v>
          </cell>
          <cell r="O17">
            <v>385613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rnadas-13"/>
      <sheetName val="ADIESTRAMIENTO-13"/>
      <sheetName val="grafico alcant sanitario, 11"/>
      <sheetName val="grafico alcantarillado, 11"/>
      <sheetName val="RESUMEN ALCANTARILLADO 2013"/>
      <sheetName val="ALCANTARILLADO POR GERENCIA-13"/>
      <sheetName val="personal 2010"/>
      <sheetName val="AVERIAS X GERENCIA-13"/>
      <sheetName val="INTERVENSIONES EN RED, 13"/>
      <sheetName val="GRAFICO AVERIAS, 13"/>
      <sheetName val="averias, 13"/>
      <sheetName val="indicadores,13"/>
      <sheetName val="indicadores (distribuidos)"/>
      <sheetName val="indicadores"/>
      <sheetName val="graf-comparativo recaudaciones,"/>
      <sheetName val="Gráfico1 rec acea"/>
      <sheetName val="Gráfico1 aaa dominicana"/>
      <sheetName val="Tablas para informe 2"/>
      <sheetName val="Tablas para informe 1"/>
      <sheetName val="Base"/>
      <sheetName val="FACTURACION DE AGUA Y ALC X USO"/>
      <sheetName val="CLIENTES x USO "/>
      <sheetName val="UNIDADES x USO"/>
      <sheetName val="consumo de agua x tipo cliente"/>
      <sheetName val="FACTURACION (2022"/>
      <sheetName val="GRAF recaudos por gerencia"/>
      <sheetName val="GRAF RECAUDOS X GERENCIA Y AÑO "/>
      <sheetName val="ESTADISTICA DE CORTES 2019"/>
      <sheetName val="produccion m3 por seg-MENSUAL"/>
      <sheetName val="PROD M3"/>
      <sheetName val="grafico de produccion"/>
      <sheetName val="produccion-MG"/>
      <sheetName val="produccion -MGD"/>
      <sheetName val="sustancias LIBRAS"/>
      <sheetName val="laboratorio"/>
      <sheetName val="limpieza desinfeccion tanque"/>
      <sheetName val="electromecanica, 13"/>
      <sheetName val="portadas"/>
      <sheetName val="DATOS PARA INFORME ONE 2019"/>
      <sheetName val="OTRAS ESTADISTICAS FACTURACION"/>
      <sheetName val="Plantas de Tratamiento 2020"/>
      <sheetName val="CORTES Y RECONEX POR MES "/>
      <sheetName val="CORTES Y RECONEX"/>
      <sheetName val="DATA GRAFICOS"/>
      <sheetName val="COMSUMO GAS-OIL X SISTEMA 13"/>
      <sheetName val="consumo combustible vehícul 13"/>
      <sheetName val="PROMOCIONES POR AÑO"/>
      <sheetName val="Hoja1"/>
      <sheetName val="NUEVOS PARAMETROS INDICADORES"/>
      <sheetName val="grafico eficiencias de recaudos"/>
      <sheetName val="CALCULOS CON INFORMES COMERCIAL"/>
      <sheetName val="GRAF RECAUDOS 2010-JUN 2012"/>
      <sheetName val="GRAF EVOL. FACT 2010-JUN 2012"/>
      <sheetName val="GRAF COBERTURA Y CREC. CONEX"/>
      <sheetName val="GRAF. CALIDAD DE AGUA"/>
      <sheetName val="GRAF. ROTACION DEUDA"/>
      <sheetName val="CALCULO CON ESTADO FINANCIERO"/>
      <sheetName val="Hoja2"/>
      <sheetName val="Hoja3"/>
      <sheetName val="USUARIOS ACTIVOS AAA DOMINICANA"/>
      <sheetName val="Hoja4"/>
      <sheetName val="unidades act e inact, z este 07"/>
      <sheetName val="censo y salud"/>
      <sheetName val="DEMANDA VS OFERTA"/>
      <sheetName val="ANALISIS DE CONSUMO IRREG"/>
      <sheetName val="ensayo calculo disponibilidad"/>
      <sheetName val="Hoja6"/>
      <sheetName val="Hoj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0">
          <cell r="AO50">
            <v>0.5175688558198317</v>
          </cell>
        </row>
      </sheetData>
      <sheetData sheetId="25"/>
      <sheetData sheetId="26"/>
      <sheetData sheetId="27"/>
      <sheetData sheetId="28"/>
      <sheetData sheetId="29">
        <row r="38">
          <cell r="Q38">
            <v>49162961167929.289</v>
          </cell>
        </row>
      </sheetData>
      <sheetData sheetId="30"/>
      <sheetData sheetId="31">
        <row r="38">
          <cell r="C38">
            <v>12902.161</v>
          </cell>
          <cell r="D38">
            <v>11713.078</v>
          </cell>
          <cell r="E38">
            <v>13239.994979999999</v>
          </cell>
          <cell r="F38">
            <v>12659.510999999999</v>
          </cell>
          <cell r="G38">
            <v>13115.971</v>
          </cell>
          <cell r="H38">
            <v>12778.414000000001</v>
          </cell>
          <cell r="I38">
            <v>13191.131000000001</v>
          </cell>
          <cell r="J38">
            <v>13309.943000000001</v>
          </cell>
          <cell r="K38">
            <v>12806.382</v>
          </cell>
          <cell r="L38">
            <v>13359.043000000001</v>
          </cell>
          <cell r="M38">
            <v>12941.644</v>
          </cell>
          <cell r="N38">
            <v>13730.987999999999</v>
          </cell>
        </row>
      </sheetData>
      <sheetData sheetId="32">
        <row r="12">
          <cell r="C12">
            <v>173.21880645161292</v>
          </cell>
          <cell r="D12">
            <v>171.06271428571432</v>
          </cell>
          <cell r="E12">
            <v>170.58638709677416</v>
          </cell>
          <cell r="F12">
            <v>166.1979</v>
          </cell>
          <cell r="G12">
            <v>168.66551612903226</v>
          </cell>
          <cell r="H12">
            <v>175.61683333333337</v>
          </cell>
          <cell r="I12">
            <v>180.17474193548389</v>
          </cell>
          <cell r="J12">
            <v>184.21138709677422</v>
          </cell>
          <cell r="K12">
            <v>180.36573333333334</v>
          </cell>
          <cell r="L12">
            <v>180.6301935483871</v>
          </cell>
          <cell r="M12">
            <v>181.90533333333332</v>
          </cell>
          <cell r="N12">
            <v>185.14603225806451</v>
          </cell>
        </row>
      </sheetData>
      <sheetData sheetId="33"/>
      <sheetData sheetId="34"/>
      <sheetData sheetId="35"/>
      <sheetData sheetId="36"/>
      <sheetData sheetId="37"/>
      <sheetData sheetId="38">
        <row r="36">
          <cell r="AC36">
            <v>3876305.7989463536</v>
          </cell>
        </row>
        <row r="41">
          <cell r="B41">
            <v>3880684.2218869012</v>
          </cell>
        </row>
        <row r="45">
          <cell r="Y45">
            <v>8.6539072951081195E-2</v>
          </cell>
        </row>
        <row r="49">
          <cell r="R49" t="str">
            <v>M3/DIA</v>
          </cell>
        </row>
        <row r="53">
          <cell r="C53" t="str">
            <v>M3/DIA</v>
          </cell>
        </row>
        <row r="54">
          <cell r="B54" t="str">
            <v>PRODUCCION AGUA RESIDUALES MUNICIPALES</v>
          </cell>
          <cell r="C54">
            <v>888815.59999999963</v>
          </cell>
        </row>
        <row r="55">
          <cell r="B55" t="str">
            <v>CANTIDAD DE AGUA RESIDUAL MUNICIPAL RECOLECTADA</v>
          </cell>
          <cell r="C55">
            <v>232459.128</v>
          </cell>
        </row>
        <row r="56">
          <cell r="B56" t="str">
            <v>CANTIDAD DE AGUA RESIDUAL MUNICIPAL TRATADA</v>
          </cell>
          <cell r="C56">
            <v>182994.8</v>
          </cell>
        </row>
        <row r="59">
          <cell r="Q59" t="str">
            <v>PRODUCCION AGUA RESIDUALES MUNICIPALES</v>
          </cell>
          <cell r="R59">
            <v>928211.74873566208</v>
          </cell>
        </row>
        <row r="60">
          <cell r="Q60" t="str">
            <v>CANTIDAD DE AGUA RESIDUAL MUNICIPAL RECOLECTADA</v>
          </cell>
          <cell r="R60">
            <v>359741.18400000001</v>
          </cell>
        </row>
        <row r="61">
          <cell r="Q61" t="str">
            <v>CANTIDAD DE AGUA RESIDUAL MUNICIPAL TRATADA</v>
          </cell>
          <cell r="R61">
            <v>80144.709999999992</v>
          </cell>
        </row>
        <row r="71">
          <cell r="C71" t="str">
            <v>M3/DIA</v>
          </cell>
        </row>
        <row r="72">
          <cell r="B72" t="str">
            <v>PRODUCCION AGUA RESIDUALES MUNICIPALES</v>
          </cell>
          <cell r="C72">
            <v>1169152.02000591</v>
          </cell>
        </row>
        <row r="73">
          <cell r="B73" t="str">
            <v>CANTIDAD DE AGUA RESIDUAL MUNICIPAL RECOLECTADA</v>
          </cell>
          <cell r="C73">
            <v>113040.75958671262</v>
          </cell>
        </row>
        <row r="74">
          <cell r="B74" t="str">
            <v>CAPACIDAD INSTALADA</v>
          </cell>
          <cell r="C74">
            <v>64960</v>
          </cell>
        </row>
        <row r="75">
          <cell r="B75" t="str">
            <v>CANTIDAD DE AGUA RESIDUAL MUNICIPAL TRATADA</v>
          </cell>
          <cell r="C75">
            <v>21960</v>
          </cell>
        </row>
        <row r="128">
          <cell r="B128" t="str">
            <v>CANTIDAD DE AGUA RESIDUALDOMESTICA</v>
          </cell>
          <cell r="C128">
            <v>790652.4</v>
          </cell>
        </row>
        <row r="129">
          <cell r="B129" t="str">
            <v>CANTIDAD DE AGUA RESIDUALES DOMESTICAS COLECTADA EN EL SISTEMA DE ALCANTARILLADO</v>
          </cell>
          <cell r="C129">
            <v>90332.06</v>
          </cell>
        </row>
        <row r="130">
          <cell r="B130" t="str">
            <v>CAPACIDAD INSTALADA</v>
          </cell>
          <cell r="C130">
            <v>64960</v>
          </cell>
        </row>
        <row r="131">
          <cell r="B131" t="str">
            <v>CANTIDAD DE AGUA RESIDUAL DOMESTICA TRATADA</v>
          </cell>
          <cell r="C131">
            <v>21960</v>
          </cell>
        </row>
        <row r="147">
          <cell r="S147">
            <v>144228</v>
          </cell>
        </row>
        <row r="148">
          <cell r="S148">
            <v>147761.51999999999</v>
          </cell>
        </row>
        <row r="149">
          <cell r="S149">
            <v>151381.68</v>
          </cell>
        </row>
        <row r="150">
          <cell r="S150">
            <v>155090.64000000001</v>
          </cell>
        </row>
        <row r="151">
          <cell r="S151">
            <v>158890.32</v>
          </cell>
        </row>
        <row r="152">
          <cell r="S152">
            <v>162783.12</v>
          </cell>
        </row>
        <row r="153">
          <cell r="S153">
            <v>168238.8</v>
          </cell>
        </row>
        <row r="154">
          <cell r="S154">
            <v>191826.96</v>
          </cell>
        </row>
        <row r="155">
          <cell r="S155">
            <v>215397.36</v>
          </cell>
        </row>
        <row r="161">
          <cell r="R161">
            <v>2010</v>
          </cell>
          <cell r="S161">
            <v>2015</v>
          </cell>
          <cell r="T161">
            <v>2020</v>
          </cell>
          <cell r="U161">
            <v>2025</v>
          </cell>
          <cell r="V161">
            <v>2030</v>
          </cell>
          <cell r="W161">
            <v>2035</v>
          </cell>
          <cell r="X161">
            <v>2040</v>
          </cell>
        </row>
        <row r="163">
          <cell r="R163">
            <v>144228</v>
          </cell>
          <cell r="S163">
            <v>162783.12</v>
          </cell>
          <cell r="T163">
            <v>168238.8</v>
          </cell>
          <cell r="U163">
            <v>181697.90400000004</v>
          </cell>
          <cell r="V163">
            <v>191826.96</v>
          </cell>
          <cell r="W163">
            <v>207173.11680000005</v>
          </cell>
          <cell r="X163">
            <v>215397.36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aola Moreno Tavarez" id="{6A124DAA-B1DE-41D7-9CF1-7D6385467645}" userId="S::Paola.Moreno@caasd.gob.do::bbda0fab-ddd1-4f3e-ba5d-08ab776e27dd" providerId="AD"/>
  <person displayName="User.App54" id="{2926BB58-E997-4C42-9A0B-0CD147B00F9A}" userId="S::user.app54@caasdgovdo.onmicrosoft.com::b1765a56-9b7b-4013-a680-242fb936ee99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DA4552-FCCB-425B-83B8-D7659C4CD152}" name="Tabla69" displayName="Tabla69" ref="A3:D15" totalsRowShown="0" headerRowDxfId="63">
  <autoFilter ref="A3:D15" xr:uid="{5A2C3D3D-73ED-4081-B23F-6C784D6B8B43}">
    <filterColumn colId="0" hiddenButton="1"/>
    <filterColumn colId="1" hiddenButton="1"/>
    <filterColumn colId="2" hiddenButton="1"/>
    <filterColumn colId="3" hiddenButton="1"/>
  </autoFilter>
  <tableColumns count="4">
    <tableColumn id="1" xr3:uid="{89EEB66B-C3DE-466B-8833-F6F4D121F320}" name="PERIODO"/>
    <tableColumn id="2" xr3:uid="{9AE0E526-0E2D-4F6F-BC90-6D69C39686A7}" name="FACTURA _NETO"/>
    <tableColumn id="3" xr3:uid="{13DED49D-6E4B-44CF-BEC1-7F7E2C3BA52A}" name="FACTURADO _SIN MORA"/>
    <tableColumn id="4" xr3:uid="{45FBA49E-D116-427D-9AEC-08B252598585}" name="MORA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77166C2-DD13-443D-96C7-0FDE806DD947}" name="Tabla710" displayName="Tabla710" ref="I3:P15" totalsRowShown="0" headerRowDxfId="62">
  <autoFilter ref="I3:P15" xr:uid="{B787A766-1038-428F-9C07-F62DE63A40A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32BA212F-CCD5-4B25-902D-2F7961A24FE0}" name="PERIODO"/>
    <tableColumn id="2" xr3:uid="{2ADA022C-E241-44B7-8569-A991A5F6040B}" name="FACTURA _NETO"/>
    <tableColumn id="3" xr3:uid="{978547EB-D722-46A4-9810-17ED6F36CE2F}" name="FACTURADO _SIN MORA"/>
    <tableColumn id="4" xr3:uid="{2EFD146D-1F17-42E5-B668-D802F398BA98}" name="MORA"/>
    <tableColumn id="5" xr3:uid="{D7C04B42-F320-4BD0-9457-F0276B3D1F21}" name="%MORA SUROESTE-NOROESTE"/>
    <tableColumn id="6" xr3:uid="{9CCCC9C2-BCEF-4F0B-A3F3-CDB94A4F3F3F}" name="%MORA NORTE-ESTE"/>
    <tableColumn id="9" xr3:uid="{1C4464B9-11BB-400F-A1BA-2705EE3ECBCC}" name="SIN_MORA SUR-NOROESTE" dataDxfId="61">
      <calculatedColumnFormula>Tabla710[[#This Row],[FACTURADO _SIN MORA]]*Tabla710[[#This Row],[%MORA SUROESTE-NOROESTE]]</calculatedColumnFormula>
    </tableColumn>
    <tableColumn id="8" xr3:uid="{1D075EDD-C4C7-4CB1-A96C-E744065401DE}" name="SIN_MORANORTE-ESTE2" dataDxfId="60">
      <calculatedColumnFormula>Tabla710[[#This Row],[FACTURADO _SIN MORA]]*Tabla710[[#This Row],[%MORA NORTE-ESTE]]</calculatedColumnFormula>
    </tableColumn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F312FFF-F021-4146-B839-FD83ED61E8B5}" name="Tabla211" displayName="Tabla211" ref="B5:L17" totalsRowShown="0" headerRowDxfId="59" dataDxfId="58" headerRowCellStyle="Énfasis1" dataCellStyle="Millares">
  <autoFilter ref="B5:L17" xr:uid="{B576B25B-408A-40E1-90BE-5D79B5BE5E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2" xr3:uid="{F0F75ADC-694C-43B2-9F32-203F14A19BE0}" name="FAC RESIDENCIAL NOROESTE-SUROESTE" dataDxfId="57" dataCellStyle="Millares"/>
    <tableColumn id="3" xr3:uid="{34777D20-1AAC-4C39-9B48-1B85BE85BFD7}" name="FAC INDUSTRIAL NOROESTE-SUROESTE" dataDxfId="56" dataCellStyle="Millares"/>
    <tableColumn id="4" xr3:uid="{125D1899-38A3-417E-942C-0FA90A3D9A50}" name="FAC COMERCIAL NOROESTE-SUROESTE" dataDxfId="55" dataCellStyle="Millares"/>
    <tableColumn id="5" xr3:uid="{3D4DA52D-CFA9-40EA-861B-C94864D84864}" name="FAC OFICIAL NOROESTE-SUROESTE" dataDxfId="54" dataCellStyle="Millares"/>
    <tableColumn id="6" xr3:uid="{0542CECD-7C07-476B-84AA-326013904260}" name="FAC MIXTO RES-COMER NOROESTE-SUROESTE" dataDxfId="53" dataCellStyle="Millares"/>
    <tableColumn id="7" xr3:uid="{28850AF7-E8A0-40F7-9E57-9513851F5827}" name="FAC OTROS NOROESTE-SUROESTE" dataDxfId="52" dataCellStyle="Millares"/>
    <tableColumn id="8" xr3:uid="{19D09E62-6697-49F5-B0EE-F59F8DDEED1A}" name="FAC RESIDENCIAL NORTE-ESTE" dataDxfId="51" dataCellStyle="Millares"/>
    <tableColumn id="9" xr3:uid="{F0AA9649-BE7A-46A2-BE3F-7DA753E52126}" name="FAC INDUSTRIAL NORTE-ESTE" dataDxfId="50" dataCellStyle="Millares"/>
    <tableColumn id="10" xr3:uid="{53FBA49A-3A9A-4C4A-BCA4-3B270C093951}" name="FAC COMERCIAL NORTE-ESTE" dataDxfId="49" dataCellStyle="Millares"/>
    <tableColumn id="11" xr3:uid="{FB6C41EA-163B-496C-BCB5-AAB5D07A5AEF}" name="FAC OFICIAL NORTE-ESTE" dataDxfId="48" dataCellStyle="Millares"/>
    <tableColumn id="12" xr3:uid="{674161BF-4189-4CA3-8B09-17C7B559E74D}" name="FAC MIXTO RES Y COM NORTE-ESTE" dataDxfId="47" dataCellStyle="Millares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2260A50-0522-409B-B27C-464A72AE9FB5}" name="Tabla7" displayName="Tabla7" ref="B29:H42" totalsRowShown="0" headerRowCellStyle="Normal 2 2" dataCellStyle="Normal 2 2">
  <autoFilter ref="B29:H42" xr:uid="{22260A50-0522-409B-B27C-464A72AE9FB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488C0D1-13DE-4A19-978A-E33F107FE5A3}" name="Facturacion por periodo " dataCellStyle="Normal 2 2"/>
    <tableColumn id="2" xr3:uid="{68481728-E3DE-4D27-BED8-6BB4B4E71726}" name="Residencial" dataDxfId="46" dataCellStyle="Normal 2 2"/>
    <tableColumn id="3" xr3:uid="{7676D2EF-A77E-4BA8-BB20-1E3E27EC31B1}" name="industrial " dataDxfId="45" dataCellStyle="Normal 2 2"/>
    <tableColumn id="4" xr3:uid="{2F7F3034-2EC8-43E2-A170-A15949547DB8}" name="Comercial " dataDxfId="44" dataCellStyle="Normal 2 2"/>
    <tableColumn id="5" xr3:uid="{CABDCC94-FA13-4BAA-9455-E3E47AEB0541}" name="oficial " dataDxfId="43" dataCellStyle="Normal 2 2"/>
    <tableColumn id="6" xr3:uid="{2D5BFECE-94DD-4D73-8343-05E66F0EE969}" name="mixto " dataDxfId="42" dataCellStyle="Normal 2 2"/>
    <tableColumn id="7" xr3:uid="{DB6B98FB-4564-40EA-AF1B-AB842F752D63}" name="Total Mensual facturado " dataDxfId="41" dataCellStyle="Normal 2 2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6799A9A-A347-47B7-A3B2-CBFE088CD117}" name="Tabla2114" displayName="Tabla2114" ref="B5:L17" totalsRowShown="0" headerRowDxfId="40" dataDxfId="39" headerRowCellStyle="Énfasis1" dataCellStyle="Millares">
  <autoFilter ref="B5:L17" xr:uid="{B576B25B-408A-40E1-90BE-5D79B5BE5E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2" xr3:uid="{650216D1-625B-4768-B351-F52CDD0239DA}" name="FAC RESIDENCIAL NOROESTE-SUROESTE" dataDxfId="38" dataCellStyle="Millares"/>
    <tableColumn id="3" xr3:uid="{8BC5CE68-8A7B-45BC-8D4C-0F70C0B29F73}" name="FAC INDUSTRIAL NOROESTE-SUROESTE" dataDxfId="37" dataCellStyle="Millares"/>
    <tableColumn id="4" xr3:uid="{F6A40E91-055B-4122-850A-3D6072FCB49A}" name="FAC COMERCIAL NOROESTE-SUROESTE" dataDxfId="36" dataCellStyle="Millares"/>
    <tableColumn id="5" xr3:uid="{BB5FAF9D-C11D-4D98-A739-167F9931BE30}" name="FAC OFICIAL NOROESTE-SUROESTE" dataDxfId="35" dataCellStyle="Millares"/>
    <tableColumn id="6" xr3:uid="{511FD34E-7581-4133-8225-4DED2C91B88B}" name="FAC MIXTO RES-COMER NOROESTE-SUROESTE" dataDxfId="34" dataCellStyle="Millares"/>
    <tableColumn id="7" xr3:uid="{232A7528-8A03-423B-8CF7-113CFF3DC3EC}" name="FAC OTROS NOROESTE-SUROESTE" dataDxfId="33" dataCellStyle="Millares"/>
    <tableColumn id="8" xr3:uid="{381D2D92-A86E-4FFA-B511-48BDCDCD0F6C}" name="FAC RESIDENCIAL NORTE-ESTE" dataDxfId="32" dataCellStyle="Millares"/>
    <tableColumn id="9" xr3:uid="{09183E52-44E6-4DB8-8638-CFB44CAFE838}" name="FAC INDUSTRIAL NORTE-ESTE" dataDxfId="31" dataCellStyle="Millares"/>
    <tableColumn id="10" xr3:uid="{89647C9D-DAE5-40C4-AEB1-ACB44B1AA77F}" name="FAC COMERCIAL NORTE-ESTE" dataDxfId="30" dataCellStyle="Millares"/>
    <tableColumn id="11" xr3:uid="{088E4CD0-1B40-41CB-9A17-389B42FADD8F}" name="FAC OFICIAL NORTE-ESTE" dataDxfId="29" dataCellStyle="Millares"/>
    <tableColumn id="12" xr3:uid="{02CFC999-005F-4045-824D-699560873503}" name="FAC MIXTO RES Y COM NORTE-ESTE" dataDxfId="28" dataCellStyle="Millares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B584929-87F8-4349-9C44-B1679A0DCA92}" name="Tabla711" displayName="Tabla711" ref="B29:H42" totalsRowShown="0" headerRowCellStyle="Normal 2 2" dataCellStyle="Normal 2 2">
  <autoFilter ref="B29:H42" xr:uid="{22260A50-0522-409B-B27C-464A72AE9FB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9DA7D217-2661-4F15-97B0-5BAF8CBD0806}" name="Facturacion por periodo " dataCellStyle="Normal 2 2"/>
    <tableColumn id="2" xr3:uid="{E123C342-30D2-433B-894C-752D277F1033}" name="Residencial" dataDxfId="27" dataCellStyle="Normal 2 2"/>
    <tableColumn id="3" xr3:uid="{ACDCAE6F-1CC9-4231-81ED-C3D9C9C329CD}" name="industrial " dataDxfId="26" dataCellStyle="Normal 2 2"/>
    <tableColumn id="4" xr3:uid="{2FE82522-4D61-428A-B514-D39D0D38927F}" name="Comercial " dataDxfId="25" dataCellStyle="Normal 2 2"/>
    <tableColumn id="5" xr3:uid="{7674F31F-2946-4C70-BF47-DAD630FE88DD}" name="oficial " dataDxfId="24" dataCellStyle="Normal 2 2"/>
    <tableColumn id="6" xr3:uid="{64FE2059-2619-495E-886B-355F3EC0FB37}" name="mixto " dataDxfId="23" dataCellStyle="Normal 2 2"/>
    <tableColumn id="7" xr3:uid="{AF6CDBDC-B287-46C0-AC99-07837A052A31}" name="Total Mensual facturado " dataDxfId="22" dataCellStyle="Normal 2 2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5CDE94A-6342-406B-9723-9FBDC502634D}" name="Tabla6" displayName="Tabla6" ref="B24:H37" totalsRowShown="0">
  <autoFilter ref="B24:H37" xr:uid="{F5CDE94A-6342-406B-9723-9FBDC502634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75776B79-3727-488E-AE4A-D8B34621F95D}" name="RECAUDO TOTAL "/>
    <tableColumn id="2" xr3:uid="{A0136A2A-77DF-43AB-B7A5-A148EC881C7E}" name="Clientes Residencial " dataDxfId="21"/>
    <tableColumn id="3" xr3:uid="{787656B3-2E41-41CB-B349-AF6C3357D8AB}" name="Industrial " dataDxfId="20"/>
    <tableColumn id="4" xr3:uid="{712C4326-6E31-424D-A785-5967485558C7}" name="comercial " dataDxfId="19"/>
    <tableColumn id="5" xr3:uid="{2ECB7011-D96F-4566-9B34-14AB5E0D7642}" name="oficial " dataDxfId="18"/>
    <tableColumn id="6" xr3:uid="{4F9F34B9-94B7-42F9-BAC8-3D2E16026E68}" name="mixto " dataDxfId="17"/>
    <tableColumn id="7" xr3:uid="{096DD84C-6D11-4932-8B06-2C23184E8930}" name="total facturacion Mensual " dataDxfId="16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0ACD1F5-C89B-439A-A606-9A3CB40E6E5C}" name="Tabla610" displayName="Tabla610" ref="B24:H37" totalsRowShown="0">
  <autoFilter ref="B24:H37" xr:uid="{D0ACD1F5-C89B-439A-A606-9A3CB40E6E5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C988986-474C-4DF5-BF47-C2E83779A149}" name="Periodo"/>
    <tableColumn id="2" xr3:uid="{54791F31-CC9E-4399-88EB-47D0BBAFBA5B}" name="Clientes Residencial " dataDxfId="15">
      <calculatedColumnFormula>$B7+$H7</calculatedColumnFormula>
    </tableColumn>
    <tableColumn id="3" xr3:uid="{72861CC8-D51E-4A6E-AE82-D2D55D2F85B7}" name="Industrial " dataDxfId="14">
      <calculatedColumnFormula>$C7+$I7</calculatedColumnFormula>
    </tableColumn>
    <tableColumn id="4" xr3:uid="{E2BC714C-4B13-4615-B3F7-C2D5A5F88974}" name="comercial " dataDxfId="13">
      <calculatedColumnFormula>$D7+$J7</calculatedColumnFormula>
    </tableColumn>
    <tableColumn id="5" xr3:uid="{932FF39C-8A25-4D0A-94A4-B30EEE7FB9B5}" name="oficial " dataDxfId="12">
      <calculatedColumnFormula>$E7+$K7</calculatedColumnFormula>
    </tableColumn>
    <tableColumn id="6" xr3:uid="{A1829423-EB4A-47D8-A5B0-F1FC2C474B4E}" name="mixto " dataDxfId="11">
      <calculatedColumnFormula>$F7+$L7</calculatedColumnFormula>
    </tableColumn>
    <tableColumn id="7" xr3:uid="{460C8FF1-D0A9-4D1C-B157-8759AA28A0B4}" name="total mensual de clientes " dataDxfId="10">
      <calculatedColumnFormula>SUM(Tabla610[[#This Row],[Clientes Residencial ]:[mixto ]])</calculatedColumnFormula>
    </tableColumn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B2DBE9-F884-4FFD-BA46-C3A698F160C8}" name="Tabla1" displayName="Tabla1" ref="E123:G149" totalsRowShown="0" headerRowBorderDxfId="9" tableBorderDxfId="8">
  <autoFilter ref="E123:G149" xr:uid="{2FB2DBE9-F884-4FFD-BA46-C3A698F160C8}">
    <filterColumn colId="0" hiddenButton="1"/>
    <filterColumn colId="1" hiddenButton="1"/>
    <filterColumn colId="2" hiddenButton="1"/>
  </autoFilter>
  <tableColumns count="3">
    <tableColumn id="1" xr3:uid="{1A882237-79EF-478F-8388-DF8A785B6CB4}" name="Columna1"/>
    <tableColumn id="2" xr3:uid="{6F00F4A7-E29F-4973-BB32-9F38920A6A2D}" name="Columna2" dataDxfId="7"/>
    <tableColumn id="3" xr3:uid="{42EB3E73-1E58-471B-84C9-8AB9DAEA9656}" name="Columna3"/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27E7FDC-17D8-4F69-9FA7-671259B02CA3}" name="Tabla310" displayName="Tabla310" ref="B3:O8" totalsRowShown="0">
  <autoFilter ref="B3:O8" xr:uid="{927E7FDC-17D8-4F69-9FA7-671259B02CA3}"/>
  <tableColumns count="14">
    <tableColumn id="24" xr3:uid="{F666B5D4-E271-4758-873C-09B94AB51F7E}" name="ID " dataDxfId="6"/>
    <tableColumn id="1" xr3:uid="{BA625C71-CFA7-4DC9-AD82-EA4952D9AFD1}" name="INDICADOR " dataDxfId="5"/>
    <tableColumn id="2" xr3:uid="{C675241A-279F-464B-9547-5723EF4D5390}" name="Enero " dataDxfId="4" dataCellStyle="Porcentaje"/>
    <tableColumn id="3" xr3:uid="{57F8B88D-ADC0-4DB7-A7B2-3803CF2A088F}" name="Febrero " dataDxfId="3" dataCellStyle="Porcentaje"/>
    <tableColumn id="4" xr3:uid="{8CC9F3D9-833E-402B-8171-CC1447C25103}" name="Marzo " dataDxfId="2" dataCellStyle="Porcentaje"/>
    <tableColumn id="5" xr3:uid="{0DCA3B94-4114-4692-B391-D06CE3E96A2F}" name="Abril"/>
    <tableColumn id="6" xr3:uid="{60C3EC10-CA14-40C1-A352-A2FC1475F33E}" name="Mayo" dataDxfId="1">
      <calculatedColumnFormula>'UNIDADES AGUA 23 23-25'!F26/'cobertura de alcantarillado san'!J32*100</calculatedColumnFormula>
    </tableColumn>
    <tableColumn id="7" xr3:uid="{6DBF77AC-E6A8-4F42-9DB9-C3C7E3E05914}" name="Junio"/>
    <tableColumn id="8" xr3:uid="{3818893D-D68F-4D0C-86BC-84B71DFB95BD}" name="Julio" dataDxfId="0"/>
    <tableColumn id="9" xr3:uid="{BDBB12A1-4A84-4254-B451-CBAD79277D3B}" name="Agosto"/>
    <tableColumn id="10" xr3:uid="{AE61165A-846C-4BDA-AD5D-77F7CB5C179E}" name="Septiembre"/>
    <tableColumn id="11" xr3:uid="{2D18CB0C-290A-413E-8367-D44EBDA06F2B}" name="Octubre"/>
    <tableColumn id="12" xr3:uid="{9B0207C7-6CF0-4D09-83E2-15781B04D321}" name="Noviembre"/>
    <tableColumn id="13" xr3:uid="{47A21D98-4D5D-4AB6-B500-F02E68B5F938}" name="Diciembre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6" dT="2024-07-31T12:46:41.31" personId="{2926BB58-E997-4C42-9A0B-0CD147B00F9A}" id="{5E96150F-A811-40FE-AD1C-D0BD1E94E985}">
    <text>valor correspondiente al fact estadístico sin mora, este se hizo en base a una proporcion tomada del fact por concepto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8" dT="2024-04-26T16:20:29.83" personId="{6A124DAA-B1DE-41D7-9CF1-7D6385467645}" id="{A20B0287-1FDA-4D32-9785-192F5244EBFA}">
    <text>Este valor fue incluido en base a la ultima actualización que presento la dirección de operaciones a fecha de 05/01/2024.</text>
  </threadedComment>
  <threadedComment ref="J39" dT="2024-08-09T13:04:18.13" personId="{2926BB58-E997-4C42-9A0B-0CD147B00F9A}" id="{DF68EF3B-4F0B-4C5A-A0F5-38E73B224338}">
    <text>El valor enviado por operaciones es de 77.82, el cual esta en proceso de revision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L41" dT="2024-08-09T14:45:44.38" personId="{6A124DAA-B1DE-41D7-9CF1-7D6385467645}" id="{16E6B609-80C4-4A8D-A37E-FE927213A748}">
    <text>entrada en operación de nuevas plantas de tratamiento la capacidad aumento de  tratamiento de 85155.91m3/dia a 88006.91m3/dia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4.xml"/><Relationship Id="rId4" Type="http://schemas.microsoft.com/office/2017/10/relationships/threadedComment" Target="../threadedComments/threadedComment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table" Target="../tables/table10.xml"/><Relationship Id="rId1" Type="http://schemas.openxmlformats.org/officeDocument/2006/relationships/vmlDrawing" Target="../drawings/vmlDrawing8.v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EDF60-5F4B-4065-9821-AE74A26E9D74}">
  <sheetPr codeName="Hoja1"/>
  <dimension ref="A1:P27"/>
  <sheetViews>
    <sheetView topLeftCell="G3" workbookViewId="0">
      <selection activeCell="M9" sqref="M9:N9"/>
    </sheetView>
  </sheetViews>
  <sheetFormatPr baseColWidth="10" defaultRowHeight="15"/>
  <cols>
    <col min="1" max="1" width="10.125" style="639" customWidth="1"/>
    <col min="2" max="2" width="15.5" style="639" customWidth="1"/>
    <col min="3" max="3" width="21.5" style="639" customWidth="1"/>
    <col min="4" max="4" width="13.875" style="639" bestFit="1" customWidth="1"/>
    <col min="5" max="8" width="11" style="639"/>
    <col min="9" max="9" width="10.125" style="639" customWidth="1"/>
    <col min="10" max="10" width="15.5" style="639" customWidth="1"/>
    <col min="11" max="11" width="21.5" style="639" customWidth="1"/>
    <col min="12" max="12" width="13.625" style="639" customWidth="1"/>
    <col min="13" max="13" width="27" style="639" customWidth="1"/>
    <col min="14" max="14" width="19.25" style="639" customWidth="1"/>
    <col min="15" max="15" width="20.5" style="639" customWidth="1"/>
    <col min="16" max="16" width="15.75" style="639" customWidth="1"/>
    <col min="17" max="16384" width="11" style="639"/>
  </cols>
  <sheetData>
    <row r="1" spans="1:16">
      <c r="A1" s="866" t="s">
        <v>40</v>
      </c>
      <c r="B1" s="866"/>
      <c r="C1" s="866"/>
      <c r="D1" s="866"/>
      <c r="E1" s="866"/>
      <c r="F1" s="866"/>
    </row>
    <row r="2" spans="1:16">
      <c r="A2" s="867" t="s">
        <v>610</v>
      </c>
      <c r="B2" s="866"/>
      <c r="C2" s="866"/>
      <c r="D2" s="866"/>
      <c r="E2" s="866"/>
      <c r="F2" s="866"/>
    </row>
    <row r="3" spans="1:16" s="645" customFormat="1" ht="30">
      <c r="A3" s="645" t="s">
        <v>436</v>
      </c>
      <c r="B3" s="645" t="s">
        <v>476</v>
      </c>
      <c r="C3" s="645" t="s">
        <v>475</v>
      </c>
      <c r="D3" s="645" t="s">
        <v>474</v>
      </c>
      <c r="I3" s="645" t="s">
        <v>436</v>
      </c>
      <c r="J3" s="645" t="s">
        <v>476</v>
      </c>
      <c r="K3" s="645" t="s">
        <v>475</v>
      </c>
      <c r="L3" s="645" t="s">
        <v>474</v>
      </c>
      <c r="M3" s="645" t="s">
        <v>473</v>
      </c>
      <c r="N3" s="645" t="s">
        <v>472</v>
      </c>
      <c r="O3" s="645" t="s">
        <v>471</v>
      </c>
      <c r="P3" s="645" t="s">
        <v>470</v>
      </c>
    </row>
    <row r="4" spans="1:16" ht="15.75">
      <c r="A4" s="833" t="s">
        <v>117</v>
      </c>
      <c r="B4" s="644"/>
      <c r="C4" s="642"/>
      <c r="D4" s="642"/>
      <c r="I4" s="639" t="s">
        <v>117</v>
      </c>
      <c r="J4" s="640"/>
      <c r="K4" s="640"/>
      <c r="L4" s="640"/>
      <c r="M4" s="641"/>
      <c r="N4" s="641"/>
      <c r="O4" s="643">
        <f>Tabla710[[#This Row],[FACTURADO _SIN MORA]]*Tabla710[[#This Row],[%MORA SUROESTE-NOROESTE]]</f>
        <v>0</v>
      </c>
      <c r="P4" s="640">
        <f>Tabla710[[#This Row],[FACTURADO _SIN MORA]]*Tabla710[[#This Row],[%MORA NORTE-ESTE]]</f>
        <v>0</v>
      </c>
    </row>
    <row r="5" spans="1:16" ht="15.75">
      <c r="A5" s="833" t="s">
        <v>118</v>
      </c>
      <c r="B5" s="642">
        <f>+SUM(Tabla69[[#This Row],[FACTURADO _SIN MORA]:[MORA]])</f>
        <v>295554336.9099952</v>
      </c>
      <c r="C5" s="642">
        <v>204635478.74997956</v>
      </c>
      <c r="D5" s="642">
        <v>90918858.160015628</v>
      </c>
      <c r="I5" s="639" t="s">
        <v>118</v>
      </c>
      <c r="J5" s="640">
        <f>+SUM(Tabla710[[#This Row],[FACTURADO _SIN MORA]:[MORA]])</f>
        <v>295554336.9099952</v>
      </c>
      <c r="K5" s="640">
        <v>204635478.74997956</v>
      </c>
      <c r="L5" s="640">
        <v>90918858.160015628</v>
      </c>
      <c r="M5" s="641"/>
      <c r="N5" s="641"/>
      <c r="O5" s="643">
        <f>Tabla710[[#This Row],[FACTURADO _SIN MORA]]*Tabla710[[#This Row],[%MORA SUROESTE-NOROESTE]]</f>
        <v>0</v>
      </c>
      <c r="P5" s="640">
        <f>Tabla710[[#This Row],[FACTURADO _SIN MORA]]*Tabla710[[#This Row],[%MORA NORTE-ESTE]]</f>
        <v>0</v>
      </c>
    </row>
    <row r="6" spans="1:16" ht="15.75">
      <c r="A6" s="833" t="s">
        <v>119</v>
      </c>
      <c r="B6" s="642">
        <f>+SUM(Tabla69[[#This Row],[FACTURADO _SIN MORA]:[MORA]])</f>
        <v>356209192.52986407</v>
      </c>
      <c r="C6" s="642">
        <v>265500975.39985025</v>
      </c>
      <c r="D6" s="642">
        <v>90708217.130013824</v>
      </c>
      <c r="I6" s="639" t="s">
        <v>119</v>
      </c>
      <c r="J6" s="640">
        <f>+SUM(Tabla710[[#This Row],[FACTURADO _SIN MORA]:[MORA]])</f>
        <v>356209192.52986407</v>
      </c>
      <c r="K6" s="640">
        <v>265500975.39985025</v>
      </c>
      <c r="L6" s="640">
        <v>90708217.130013824</v>
      </c>
      <c r="M6" s="641"/>
      <c r="N6" s="641"/>
      <c r="O6" s="643">
        <f>Tabla710[[#This Row],[FACTURADO _SIN MORA]]*Tabla710[[#This Row],[%MORA SUROESTE-NOROESTE]]</f>
        <v>0</v>
      </c>
      <c r="P6" s="640">
        <f>Tabla710[[#This Row],[FACTURADO _SIN MORA]]*Tabla710[[#This Row],[%MORA NORTE-ESTE]]</f>
        <v>0</v>
      </c>
    </row>
    <row r="7" spans="1:16" ht="15.75">
      <c r="A7" s="833" t="s">
        <v>120</v>
      </c>
      <c r="B7" s="642">
        <f>+SUM(Tabla69[[#This Row],[FACTURADO _SIN MORA]:[MORA]])</f>
        <v>284192131.13992584</v>
      </c>
      <c r="C7" s="642">
        <v>192510380.09994528</v>
      </c>
      <c r="D7" s="642">
        <v>91681751.039980531</v>
      </c>
      <c r="I7" s="639" t="s">
        <v>120</v>
      </c>
      <c r="J7" s="640">
        <f>+SUM(Tabla710[[#This Row],[FACTURADO _SIN MORA]:[MORA]])</f>
        <v>284192131.13992584</v>
      </c>
      <c r="K7" s="640">
        <f>+Tabla69[[#This Row],[FACTURADO _SIN MORA]]</f>
        <v>192510380.09994528</v>
      </c>
      <c r="L7" s="640">
        <f>+Tabla69[[#This Row],[MORA]]</f>
        <v>91681751.039980531</v>
      </c>
      <c r="M7" s="641"/>
      <c r="N7" s="641"/>
      <c r="O7" s="640">
        <f>Tabla710[[#This Row],[FACTURADO _SIN MORA]]*Tabla710[[#This Row],[%MORA SUROESTE-NOROESTE]]</f>
        <v>0</v>
      </c>
      <c r="P7" s="640">
        <f>Tabla710[[#This Row],[FACTURADO _SIN MORA]]*Tabla710[[#This Row],[%MORA NORTE-ESTE]]</f>
        <v>0</v>
      </c>
    </row>
    <row r="8" spans="1:16" ht="15.75">
      <c r="A8" s="639" t="s">
        <v>121</v>
      </c>
      <c r="B8" s="642">
        <f>+SUM(Tabla69[[#This Row],[FACTURADO _SIN MORA]:[MORA]])</f>
        <v>288135467.73994803</v>
      </c>
      <c r="C8" s="657">
        <v>192091195.75994456</v>
      </c>
      <c r="D8" s="657">
        <v>96044271.980003461</v>
      </c>
      <c r="I8" s="639" t="s">
        <v>121</v>
      </c>
      <c r="J8" s="640">
        <f>+SUM(Tabla710[[#This Row],[FACTURADO _SIN MORA]:[MORA]])</f>
        <v>288135467.73994803</v>
      </c>
      <c r="K8" s="640">
        <f>+Tabla69[[#This Row],[FACTURADO _SIN MORA]]</f>
        <v>192091195.75994456</v>
      </c>
      <c r="L8" s="640">
        <f>+Tabla69[[#This Row],[MORA]]</f>
        <v>96044271.980003461</v>
      </c>
      <c r="M8" s="641"/>
      <c r="N8" s="641"/>
      <c r="O8" s="640">
        <f>Tabla710[[#This Row],[FACTURADO _SIN MORA]]*Tabla710[[#This Row],[%MORA SUROESTE-NOROESTE]]</f>
        <v>0</v>
      </c>
      <c r="P8" s="640">
        <f>Tabla710[[#This Row],[FACTURADO _SIN MORA]]*Tabla710[[#This Row],[%MORA NORTE-ESTE]]</f>
        <v>0</v>
      </c>
    </row>
    <row r="9" spans="1:16" s="701" customFormat="1" ht="15.75">
      <c r="A9" s="701" t="s">
        <v>122</v>
      </c>
      <c r="B9" s="642">
        <f>+SUM(Tabla69[[#This Row],[FACTURADO _SIN MORA]:[MORA]])</f>
        <v>290876889.34992987</v>
      </c>
      <c r="C9" s="702">
        <v>193498114.51994413</v>
      </c>
      <c r="D9" s="703">
        <v>97378774.829985738</v>
      </c>
      <c r="I9" s="701" t="s">
        <v>122</v>
      </c>
      <c r="J9" s="640">
        <f>+SUM(Tabla710[[#This Row],[FACTURADO _SIN MORA]:[MORA]])</f>
        <v>290876889.34992987</v>
      </c>
      <c r="K9" s="640">
        <f>+Tabla69[[#This Row],[FACTURADO _SIN MORA]]</f>
        <v>193498114.51994413</v>
      </c>
      <c r="L9" s="640">
        <f>+Tabla69[[#This Row],[MORA]]</f>
        <v>97378774.829985738</v>
      </c>
      <c r="M9" s="704"/>
      <c r="N9" s="704"/>
      <c r="O9" s="705">
        <f>Tabla710[[#This Row],[FACTURADO _SIN MORA]]*Tabla710[[#This Row],[%MORA SUROESTE-NOROESTE]]</f>
        <v>0</v>
      </c>
      <c r="P9" s="705">
        <f>Tabla710[[#This Row],[FACTURADO _SIN MORA]]*Tabla710[[#This Row],[%MORA NORTE-ESTE]]</f>
        <v>0</v>
      </c>
    </row>
    <row r="10" spans="1:16">
      <c r="A10" s="639" t="s">
        <v>123</v>
      </c>
      <c r="B10" s="642">
        <f>+SUM(Tabla69[[#This Row],[FACTURADO _SIN MORA]:[MORA]])</f>
        <v>0</v>
      </c>
      <c r="C10" s="700"/>
      <c r="D10" s="700"/>
      <c r="I10" s="639" t="s">
        <v>123</v>
      </c>
      <c r="J10" s="640">
        <f>+SUM(Tabla710[[#This Row],[FACTURADO _SIN MORA]:[MORA]])</f>
        <v>0</v>
      </c>
      <c r="K10" s="640">
        <f>+Tabla69[[#This Row],[FACTURADO _SIN MORA]]</f>
        <v>0</v>
      </c>
      <c r="L10" s="640">
        <f>+Tabla69[[#This Row],[MORA]]</f>
        <v>0</v>
      </c>
      <c r="M10" s="699"/>
      <c r="N10" s="699"/>
      <c r="O10" s="640">
        <f>Tabla710[[#This Row],[FACTURADO _SIN MORA]]*Tabla710[[#This Row],[%MORA SUROESTE-NOROESTE]]</f>
        <v>0</v>
      </c>
      <c r="P10" s="640">
        <f>Tabla710[[#This Row],[FACTURADO _SIN MORA]]*Tabla710[[#This Row],[%MORA NORTE-ESTE]]</f>
        <v>0</v>
      </c>
    </row>
    <row r="11" spans="1:16" ht="15.75">
      <c r="A11" s="639" t="s">
        <v>124</v>
      </c>
      <c r="B11" s="642">
        <f>+SUM(Tabla69[[#This Row],[FACTURADO _SIN MORA]:[MORA]])</f>
        <v>0</v>
      </c>
      <c r="C11" s="657"/>
      <c r="D11" s="657"/>
      <c r="I11" s="639" t="s">
        <v>124</v>
      </c>
      <c r="J11" s="640">
        <f>+SUM(Tabla710[[#This Row],[FACTURADO _SIN MORA]:[MORA]])</f>
        <v>0</v>
      </c>
      <c r="K11" s="640">
        <f>+Tabla69[[#This Row],[FACTURADO _SIN MORA]]</f>
        <v>0</v>
      </c>
      <c r="L11" s="640">
        <f>+Tabla69[[#This Row],[MORA]]</f>
        <v>0</v>
      </c>
      <c r="M11" s="692"/>
      <c r="N11" s="692"/>
      <c r="O11" s="640">
        <f>Tabla710[[#This Row],[FACTURADO _SIN MORA]]*Tabla710[[#This Row],[%MORA SUROESTE-NOROESTE]]</f>
        <v>0</v>
      </c>
      <c r="P11" s="640">
        <f>Tabla710[[#This Row],[FACTURADO _SIN MORA]]*Tabla710[[#This Row],[%MORA NORTE-ESTE]]</f>
        <v>0</v>
      </c>
    </row>
    <row r="12" spans="1:16" ht="15.75">
      <c r="A12" s="639" t="s">
        <v>125</v>
      </c>
      <c r="B12" s="642">
        <f>+SUM(Tabla69[[#This Row],[FACTURADO _SIN MORA]:[MORA]])</f>
        <v>0</v>
      </c>
      <c r="C12" s="657"/>
      <c r="D12" s="657"/>
      <c r="I12" s="639" t="s">
        <v>125</v>
      </c>
      <c r="J12" s="640">
        <f>+SUM(Tabla710[[#This Row],[FACTURADO _SIN MORA]:[MORA]])</f>
        <v>0</v>
      </c>
      <c r="K12" s="640">
        <f>+Tabla69[[#This Row],[FACTURADO _SIN MORA]]</f>
        <v>0</v>
      </c>
      <c r="L12" s="640">
        <f>+Tabla69[[#This Row],[MORA]]</f>
        <v>0</v>
      </c>
      <c r="M12" s="315"/>
      <c r="N12" s="315"/>
      <c r="O12" s="640">
        <f>Tabla710[[#This Row],[FACTURADO _SIN MORA]]*Tabla710[[#This Row],[%MORA SUROESTE-NOROESTE]]</f>
        <v>0</v>
      </c>
      <c r="P12" s="640">
        <f>Tabla710[[#This Row],[FACTURADO _SIN MORA]]*Tabla710[[#This Row],[%MORA NORTE-ESTE]]</f>
        <v>0</v>
      </c>
    </row>
    <row r="13" spans="1:16" ht="15.75">
      <c r="A13" s="639" t="s">
        <v>126</v>
      </c>
      <c r="B13" s="642">
        <f>+SUM(Tabla69[[#This Row],[FACTURADO _SIN MORA]:[MORA]])</f>
        <v>0</v>
      </c>
      <c r="C13" s="657"/>
      <c r="D13" s="657"/>
      <c r="I13" s="639" t="s">
        <v>126</v>
      </c>
      <c r="J13" s="640">
        <f>+SUM(Tabla710[[#This Row],[FACTURADO _SIN MORA]:[MORA]])</f>
        <v>0</v>
      </c>
      <c r="K13" s="640">
        <f>+Tabla69[[#This Row],[FACTURADO _SIN MORA]]</f>
        <v>0</v>
      </c>
      <c r="L13" s="640">
        <f>+Tabla69[[#This Row],[MORA]]</f>
        <v>0</v>
      </c>
      <c r="M13" s="315"/>
      <c r="N13" s="315"/>
      <c r="O13" s="640">
        <f>Tabla710[[#This Row],[FACTURADO _SIN MORA]]*Tabla710[[#This Row],[%MORA SUROESTE-NOROESTE]]</f>
        <v>0</v>
      </c>
      <c r="P13" s="640">
        <f>Tabla710[[#This Row],[FACTURADO _SIN MORA]]*Tabla710[[#This Row],[%MORA NORTE-ESTE]]</f>
        <v>0</v>
      </c>
    </row>
    <row r="14" spans="1:16" ht="15.75">
      <c r="A14" s="639" t="s">
        <v>127</v>
      </c>
      <c r="B14" s="642">
        <f>+SUM(Tabla69[[#This Row],[FACTURADO _SIN MORA]:[MORA]])</f>
        <v>0</v>
      </c>
      <c r="C14" s="657"/>
      <c r="D14" s="657"/>
      <c r="I14" s="639" t="s">
        <v>127</v>
      </c>
      <c r="J14" s="640">
        <f>+SUM(Tabla710[[#This Row],[FACTURADO _SIN MORA]:[MORA]])</f>
        <v>0</v>
      </c>
      <c r="K14" s="640">
        <f>+Tabla69[[#This Row],[FACTURADO _SIN MORA]]</f>
        <v>0</v>
      </c>
      <c r="L14" s="640">
        <f>+Tabla69[[#This Row],[MORA]]</f>
        <v>0</v>
      </c>
      <c r="M14" s="315">
        <v>0.64662505520775659</v>
      </c>
      <c r="N14" s="315">
        <v>0.3533749447922433</v>
      </c>
      <c r="O14" s="640">
        <f>Tabla710[[#This Row],[FACTURADO _SIN MORA]]*Tabla710[[#This Row],[%MORA SUROESTE-NOROESTE]]</f>
        <v>0</v>
      </c>
      <c r="P14" s="640">
        <f>Tabla710[[#This Row],[FACTURADO _SIN MORA]]*Tabla710[[#This Row],[%MORA NORTE-ESTE]]</f>
        <v>0</v>
      </c>
    </row>
    <row r="15" spans="1:16" ht="15.75">
      <c r="A15" s="639" t="s">
        <v>128</v>
      </c>
      <c r="B15" s="642">
        <f>+SUM(Tabla69[[#This Row],[FACTURADO _SIN MORA]:[MORA]])</f>
        <v>0</v>
      </c>
      <c r="C15" s="657"/>
      <c r="D15" s="799"/>
      <c r="I15" s="639" t="s">
        <v>128</v>
      </c>
      <c r="J15" s="640">
        <f>+SUM(Tabla710[[#This Row],[FACTURADO _SIN MORA]:[MORA]])</f>
        <v>0</v>
      </c>
      <c r="K15" s="640">
        <f>+Tabla69[[#This Row],[FACTURADO _SIN MORA]]</f>
        <v>0</v>
      </c>
      <c r="L15" s="640">
        <f>+Tabla69[[#This Row],[MORA]]</f>
        <v>0</v>
      </c>
      <c r="M15" s="315">
        <v>0.6600323392502575</v>
      </c>
      <c r="N15" s="315">
        <v>0.3399676607497425</v>
      </c>
      <c r="O15" s="640">
        <f>Tabla710[[#This Row],[FACTURADO _SIN MORA]]*Tabla710[[#This Row],[%MORA SUROESTE-NOROESTE]]</f>
        <v>0</v>
      </c>
      <c r="P15" s="640">
        <f>Tabla710[[#This Row],[FACTURADO _SIN MORA]]*Tabla710[[#This Row],[%MORA NORTE-ESTE]]</f>
        <v>0</v>
      </c>
    </row>
    <row r="24" spans="2:5">
      <c r="B24" s="693" t="s">
        <v>511</v>
      </c>
      <c r="C24" s="693" t="s">
        <v>513</v>
      </c>
      <c r="D24" s="693" t="s">
        <v>512</v>
      </c>
      <c r="E24" s="693"/>
    </row>
    <row r="25" spans="2:5">
      <c r="B25" s="693" t="s">
        <v>281</v>
      </c>
      <c r="C25" s="640">
        <f>'Facturación 23-25'!P9</f>
        <v>192510380.10002229</v>
      </c>
      <c r="D25" s="640">
        <f>'Recaudación 23-25'!N9</f>
        <v>115921750.2999872</v>
      </c>
    </row>
    <row r="26" spans="2:5">
      <c r="B26" s="693" t="s">
        <v>282</v>
      </c>
      <c r="C26" s="640">
        <f>'Facturación 23-25'!P10</f>
        <v>192091195.76002157</v>
      </c>
      <c r="D26" s="640">
        <f>'Recaudación 23-25'!N10</f>
        <v>124914807.53000051</v>
      </c>
    </row>
    <row r="27" spans="2:5">
      <c r="B27" s="693" t="s">
        <v>283</v>
      </c>
      <c r="C27" s="640">
        <f>'Facturación 23-25'!P11</f>
        <v>193498114.52002168</v>
      </c>
      <c r="D27" s="640">
        <f>'Recaudación 23-25'!N11</f>
        <v>127892772.39999759</v>
      </c>
    </row>
  </sheetData>
  <mergeCells count="2">
    <mergeCell ref="A1:F1"/>
    <mergeCell ref="A2:F2"/>
  </mergeCells>
  <phoneticPr fontId="105" type="noConversion"/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5D473-E232-4CCB-9277-EE6C1C5C4938}">
  <sheetPr codeName="Hoja2">
    <tabColor rgb="FFFFFF00"/>
  </sheetPr>
  <dimension ref="A2:U42"/>
  <sheetViews>
    <sheetView workbookViewId="0">
      <selection activeCell="O16" sqref="O16"/>
    </sheetView>
  </sheetViews>
  <sheetFormatPr baseColWidth="10" defaultRowHeight="15.75"/>
  <cols>
    <col min="1" max="1" width="11.25" style="646" customWidth="1"/>
    <col min="2" max="2" width="24" style="646" customWidth="1"/>
    <col min="3" max="3" width="20.875" style="646" customWidth="1"/>
    <col min="4" max="4" width="21" style="646" customWidth="1"/>
    <col min="5" max="5" width="18.5" style="646" customWidth="1"/>
    <col min="6" max="6" width="22" style="646" customWidth="1"/>
    <col min="7" max="7" width="20.25" style="646" customWidth="1"/>
    <col min="8" max="8" width="24.25" style="646" customWidth="1"/>
    <col min="9" max="9" width="19.75" style="646" customWidth="1"/>
    <col min="10" max="10" width="16.5" style="646" customWidth="1"/>
    <col min="11" max="11" width="18.75" style="646" customWidth="1"/>
    <col min="12" max="12" width="20.125" style="646" customWidth="1"/>
    <col min="13" max="15" width="17.875" style="646" customWidth="1"/>
    <col min="16" max="16" width="14.375" style="646" customWidth="1"/>
    <col min="17" max="17" width="15.75" style="646" customWidth="1"/>
    <col min="18" max="16384" width="11" style="646"/>
  </cols>
  <sheetData>
    <row r="2" spans="1:21">
      <c r="A2" s="646" t="s">
        <v>608</v>
      </c>
    </row>
    <row r="3" spans="1:21">
      <c r="A3" s="646">
        <v>2024</v>
      </c>
    </row>
    <row r="5" spans="1:21" ht="30" customHeight="1">
      <c r="A5" s="646" t="s">
        <v>436</v>
      </c>
      <c r="B5" s="647" t="s">
        <v>2</v>
      </c>
      <c r="C5" s="647" t="s">
        <v>3</v>
      </c>
      <c r="D5" s="647" t="s">
        <v>4</v>
      </c>
      <c r="E5" s="647" t="s">
        <v>5</v>
      </c>
      <c r="F5" s="647" t="s">
        <v>6</v>
      </c>
      <c r="G5" s="647" t="s">
        <v>7</v>
      </c>
      <c r="H5" s="647" t="s">
        <v>8</v>
      </c>
      <c r="I5" s="647" t="s">
        <v>9</v>
      </c>
      <c r="J5" s="647" t="s">
        <v>10</v>
      </c>
      <c r="K5" s="647" t="s">
        <v>11</v>
      </c>
      <c r="L5" s="647" t="s">
        <v>12</v>
      </c>
      <c r="M5" s="647" t="s">
        <v>13</v>
      </c>
      <c r="N5" s="647" t="s">
        <v>529</v>
      </c>
      <c r="O5" s="647" t="s">
        <v>530</v>
      </c>
      <c r="P5" s="647" t="s">
        <v>14</v>
      </c>
      <c r="Q5" s="3" t="s">
        <v>550</v>
      </c>
    </row>
    <row r="6" spans="1:21">
      <c r="A6" s="648">
        <v>45658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649"/>
    </row>
    <row r="7" spans="1:21" s="650" customFormat="1">
      <c r="A7" s="648">
        <v>45689</v>
      </c>
      <c r="B7" s="4">
        <v>83861698.300004363</v>
      </c>
      <c r="C7" s="4">
        <v>12440441.6</v>
      </c>
      <c r="D7" s="4">
        <v>19498303.699999992</v>
      </c>
      <c r="E7" s="4">
        <v>9029962.1999999993</v>
      </c>
      <c r="F7" s="4">
        <v>20039881.360000115</v>
      </c>
      <c r="G7" s="4">
        <v>1462721.8199999998</v>
      </c>
      <c r="H7" s="4">
        <v>38192747.620018251</v>
      </c>
      <c r="I7" s="4">
        <v>3891059.7399999998</v>
      </c>
      <c r="J7" s="4">
        <v>4365487.6400000174</v>
      </c>
      <c r="K7" s="4">
        <v>4542439.18</v>
      </c>
      <c r="L7" s="4">
        <v>5678456.9200000968</v>
      </c>
      <c r="M7" s="4">
        <v>1632278.6700000085</v>
      </c>
      <c r="N7" s="4">
        <f>SUM(Tabla211[[#This Row],[FAC RESIDENCIAL NOROESTE-SUROESTE]:[FAC OTROS NOROESTE-SUROESTE]])</f>
        <v>146333008.98000446</v>
      </c>
      <c r="O7" s="4">
        <f t="shared" ref="O7:O12" si="0">SUM(H7:M7)</f>
        <v>58302469.770018376</v>
      </c>
      <c r="P7" s="652">
        <f t="shared" ref="P7:P12" si="1">SUM(B7:M7)</f>
        <v>204635478.75002286</v>
      </c>
      <c r="Q7" s="737" t="e">
        <f t="shared" ref="Q7:Q9" si="2">(P7-P6)/P6</f>
        <v>#DIV/0!</v>
      </c>
      <c r="R7" s="646"/>
      <c r="S7" s="646"/>
      <c r="T7" s="646"/>
      <c r="U7" s="646"/>
    </row>
    <row r="8" spans="1:21">
      <c r="A8" s="648">
        <v>45717</v>
      </c>
      <c r="B8" s="697">
        <v>118606687.1499975</v>
      </c>
      <c r="C8" s="550">
        <v>13666929.4</v>
      </c>
      <c r="D8" s="697">
        <v>40883250.479999982</v>
      </c>
      <c r="E8" s="550">
        <v>9789085.400000006</v>
      </c>
      <c r="F8" s="697">
        <v>24139794.27999999</v>
      </c>
      <c r="G8" s="550">
        <v>969804.25999999989</v>
      </c>
      <c r="H8" s="552">
        <v>36228355.000012808</v>
      </c>
      <c r="I8" s="698">
        <v>4483149.46</v>
      </c>
      <c r="J8" s="552">
        <v>4514460.1500000181</v>
      </c>
      <c r="K8" s="698">
        <v>5212536.7600000016</v>
      </c>
      <c r="L8" s="552">
        <v>5477301.5200000862</v>
      </c>
      <c r="M8" s="4">
        <v>1529621.5400000052</v>
      </c>
      <c r="N8" s="4">
        <f>SUM(Tabla211[[#This Row],[FAC RESIDENCIAL NOROESTE-SUROESTE]:[FAC OTROS NOROESTE-SUROESTE]])</f>
        <v>208055550.9699975</v>
      </c>
      <c r="O8" s="4">
        <f t="shared" si="0"/>
        <v>57445424.430012926</v>
      </c>
      <c r="P8" s="652">
        <f t="shared" si="1"/>
        <v>265500975.40001041</v>
      </c>
      <c r="Q8" s="737">
        <f t="shared" si="2"/>
        <v>0.29743374424500058</v>
      </c>
    </row>
    <row r="9" spans="1:21">
      <c r="A9" s="648">
        <v>45748</v>
      </c>
      <c r="B9" s="679">
        <v>80836177.220011264</v>
      </c>
      <c r="C9" s="678">
        <v>12321735</v>
      </c>
      <c r="D9" s="679">
        <v>18633563.449999999</v>
      </c>
      <c r="E9" s="678">
        <v>9046622.1800000016</v>
      </c>
      <c r="F9" s="679">
        <v>19152815.490000091</v>
      </c>
      <c r="G9" s="678">
        <v>672013.92</v>
      </c>
      <c r="H9" s="680">
        <v>33356111.440010838</v>
      </c>
      <c r="I9" s="681">
        <v>3759782.1700000004</v>
      </c>
      <c r="J9" s="680">
        <v>4018612.390000016</v>
      </c>
      <c r="K9" s="681">
        <v>4561146.5399999991</v>
      </c>
      <c r="L9" s="680">
        <v>4865383.8200000711</v>
      </c>
      <c r="M9" s="4">
        <v>1286416.4800000116</v>
      </c>
      <c r="N9" s="4">
        <f>SUM(Tabla211[[#This Row],[FAC RESIDENCIAL NOROESTE-SUROESTE]:[FAC OTROS NOROESTE-SUROESTE]])</f>
        <v>140662927.26001135</v>
      </c>
      <c r="O9" s="4">
        <f t="shared" si="0"/>
        <v>51847452.840010934</v>
      </c>
      <c r="P9" s="652">
        <f t="shared" si="1"/>
        <v>192510380.10002229</v>
      </c>
      <c r="Q9" s="737">
        <f t="shared" si="2"/>
        <v>-0.27491648642728589</v>
      </c>
    </row>
    <row r="10" spans="1:21">
      <c r="A10" s="648">
        <v>45778</v>
      </c>
      <c r="B10" s="4">
        <v>80088437.790010631</v>
      </c>
      <c r="C10" s="851">
        <v>12363220.900000002</v>
      </c>
      <c r="D10" s="851">
        <v>18406192.519999992</v>
      </c>
      <c r="E10" s="851">
        <v>9247679.2400000002</v>
      </c>
      <c r="F10" s="851">
        <v>19060817.780000061</v>
      </c>
      <c r="G10" s="851">
        <v>717855.89</v>
      </c>
      <c r="H10" s="851">
        <v>33439907.24001082</v>
      </c>
      <c r="I10" s="851">
        <v>3746887.29</v>
      </c>
      <c r="J10" s="851">
        <v>4073050.4300000155</v>
      </c>
      <c r="K10" s="851">
        <v>4749514.34</v>
      </c>
      <c r="L10" s="851">
        <v>4870040.9000000702</v>
      </c>
      <c r="M10" s="851">
        <v>1327591.4400000116</v>
      </c>
      <c r="N10" s="4">
        <f>SUM(Tabla211[[#This Row],[FAC RESIDENCIAL NOROESTE-SUROESTE]:[FAC OTROS NOROESTE-SUROESTE]])</f>
        <v>139884204.12001067</v>
      </c>
      <c r="O10" s="4">
        <f t="shared" si="0"/>
        <v>52206991.640010916</v>
      </c>
      <c r="P10" s="652">
        <f t="shared" si="1"/>
        <v>192091195.76002157</v>
      </c>
      <c r="Q10" s="737">
        <f t="shared" ref="Q10:Q14" si="3">(P10-P9)/P9</f>
        <v>-2.1774635725248892E-3</v>
      </c>
    </row>
    <row r="11" spans="1:21">
      <c r="A11" s="648">
        <v>45809</v>
      </c>
      <c r="B11" s="855">
        <v>80665695.710010558</v>
      </c>
      <c r="C11" s="855">
        <v>12411159.600000001</v>
      </c>
      <c r="D11" s="855">
        <v>18722607.479999993</v>
      </c>
      <c r="E11" s="855">
        <v>9082855</v>
      </c>
      <c r="F11" s="855">
        <v>18941740.280000068</v>
      </c>
      <c r="G11" s="855">
        <v>1403506.23</v>
      </c>
      <c r="H11" s="855">
        <v>33605205.910010964</v>
      </c>
      <c r="I11" s="855">
        <v>3704935.49</v>
      </c>
      <c r="J11" s="855">
        <v>4124351.2300000163</v>
      </c>
      <c r="K11" s="855">
        <v>4587636.16</v>
      </c>
      <c r="L11" s="855">
        <v>4907810.830000069</v>
      </c>
      <c r="M11" s="855">
        <v>1340610.6000000117</v>
      </c>
      <c r="N11" s="4">
        <f>SUM(Tabla211[[#This Row],[FAC RESIDENCIAL NOROESTE-SUROESTE]:[FAC OTROS NOROESTE-SUROESTE]])</f>
        <v>141227564.30001059</v>
      </c>
      <c r="O11" s="4">
        <f t="shared" si="0"/>
        <v>52270550.22001107</v>
      </c>
      <c r="P11" s="652">
        <f t="shared" si="1"/>
        <v>193498114.52002168</v>
      </c>
      <c r="Q11" s="737">
        <f t="shared" si="3"/>
        <v>7.3242230308033758E-3</v>
      </c>
      <c r="R11" s="737">
        <f>+(P11-P8)/P8</f>
        <v>-0.27119621979357106</v>
      </c>
    </row>
    <row r="12" spans="1:21">
      <c r="A12" s="648">
        <v>45839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>
        <f>SUM(Tabla211[[#This Row],[FAC RESIDENCIAL NOROESTE-SUROESTE]:[FAC OTROS NOROESTE-SUROESTE]])</f>
        <v>0</v>
      </c>
      <c r="O12" s="4">
        <f t="shared" si="0"/>
        <v>0</v>
      </c>
      <c r="P12" s="652">
        <f t="shared" si="1"/>
        <v>0</v>
      </c>
      <c r="Q12" s="737">
        <f t="shared" si="3"/>
        <v>-1</v>
      </c>
    </row>
    <row r="13" spans="1:21">
      <c r="A13" s="648">
        <v>45870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719"/>
      <c r="N13" s="4"/>
      <c r="O13" s="4"/>
      <c r="P13" s="652"/>
      <c r="Q13" s="737" t="e">
        <f t="shared" si="3"/>
        <v>#DIV/0!</v>
      </c>
    </row>
    <row r="14" spans="1:21">
      <c r="A14" s="648">
        <v>45901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719"/>
      <c r="N14" s="4"/>
      <c r="O14" s="4"/>
      <c r="P14" s="652"/>
      <c r="Q14" s="737" t="e">
        <f t="shared" si="3"/>
        <v>#DIV/0!</v>
      </c>
      <c r="R14" s="737">
        <f>+(P14-P11)/P11</f>
        <v>-1</v>
      </c>
    </row>
    <row r="15" spans="1:21">
      <c r="A15" s="648">
        <v>45931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764"/>
      <c r="N15" s="4"/>
      <c r="O15" s="4"/>
      <c r="P15" s="652"/>
      <c r="Q15" s="737" t="e">
        <f>(P15-P14)/P14</f>
        <v>#DIV/0!</v>
      </c>
    </row>
    <row r="16" spans="1:21">
      <c r="A16" s="648">
        <v>45962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719"/>
      <c r="N16" s="4"/>
      <c r="O16" s="4"/>
      <c r="P16" s="652"/>
      <c r="Q16" s="737" t="e">
        <f>(P16-P15)/P15</f>
        <v>#DIV/0!</v>
      </c>
    </row>
    <row r="17" spans="1:18">
      <c r="A17" s="648">
        <v>45992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764"/>
      <c r="N17" s="4"/>
      <c r="O17" s="4"/>
      <c r="P17" s="652"/>
      <c r="Q17" s="737" t="e">
        <f>(P17-P16)/P16</f>
        <v>#DIV/0!</v>
      </c>
      <c r="R17" s="737" t="e">
        <f>+(P17-P14)/P14</f>
        <v>#DIV/0!</v>
      </c>
    </row>
    <row r="18" spans="1:18">
      <c r="A18" s="651"/>
    </row>
    <row r="19" spans="1:18">
      <c r="A19" s="651"/>
    </row>
    <row r="20" spans="1:18">
      <c r="A20" s="651"/>
    </row>
    <row r="21" spans="1:18">
      <c r="A21" s="651"/>
    </row>
    <row r="22" spans="1:18">
      <c r="A22" s="651"/>
    </row>
    <row r="28" spans="1:18">
      <c r="B28" s="868" t="s">
        <v>495</v>
      </c>
      <c r="C28" s="868"/>
      <c r="D28" s="868"/>
      <c r="E28" s="868"/>
      <c r="F28" s="868"/>
      <c r="G28" s="868"/>
      <c r="H28" s="868"/>
    </row>
    <row r="29" spans="1:18">
      <c r="B29" s="646" t="s">
        <v>496</v>
      </c>
      <c r="C29" s="646" t="s">
        <v>497</v>
      </c>
      <c r="D29" s="646" t="s">
        <v>498</v>
      </c>
      <c r="E29" s="646" t="s">
        <v>499</v>
      </c>
      <c r="F29" s="646" t="s">
        <v>482</v>
      </c>
      <c r="G29" s="646" t="s">
        <v>481</v>
      </c>
      <c r="H29" s="685" t="s">
        <v>500</v>
      </c>
    </row>
    <row r="30" spans="1:18">
      <c r="B30" s="646" t="s">
        <v>453</v>
      </c>
      <c r="C30" s="684">
        <f t="shared" ref="C30:C41" si="4">$B6+$H6</f>
        <v>0</v>
      </c>
      <c r="D30" s="684">
        <f t="shared" ref="D30:D41" si="5">$C6+$I6</f>
        <v>0</v>
      </c>
      <c r="E30" s="684">
        <f t="shared" ref="E30:E41" si="6">$D6+$J6</f>
        <v>0</v>
      </c>
      <c r="F30" s="684">
        <f t="shared" ref="F30:F41" si="7">$E6+$K6</f>
        <v>0</v>
      </c>
      <c r="G30" s="684">
        <f t="shared" ref="G30:G41" si="8">$F6+$L6</f>
        <v>0</v>
      </c>
      <c r="H30" s="684">
        <f>SUM($C30:$G30)</f>
        <v>0</v>
      </c>
    </row>
    <row r="31" spans="1:18">
      <c r="B31" s="646" t="s">
        <v>279</v>
      </c>
      <c r="C31" s="684">
        <f t="shared" si="4"/>
        <v>122054445.92002261</v>
      </c>
      <c r="D31" s="684">
        <f t="shared" si="5"/>
        <v>16331501.34</v>
      </c>
      <c r="E31" s="684">
        <f t="shared" si="6"/>
        <v>23863791.340000011</v>
      </c>
      <c r="F31" s="684">
        <f t="shared" si="7"/>
        <v>13572401.379999999</v>
      </c>
      <c r="G31" s="684">
        <f t="shared" si="8"/>
        <v>25718338.28000021</v>
      </c>
      <c r="H31" s="684">
        <f t="shared" ref="H31:H41" si="9">SUM($C31:$G31)</f>
        <v>201540478.26002282</v>
      </c>
    </row>
    <row r="32" spans="1:18">
      <c r="B32" s="646" t="s">
        <v>280</v>
      </c>
      <c r="C32" s="684">
        <f t="shared" si="4"/>
        <v>154835042.15001032</v>
      </c>
      <c r="D32" s="684">
        <f t="shared" si="5"/>
        <v>18150078.859999999</v>
      </c>
      <c r="E32" s="684">
        <f t="shared" si="6"/>
        <v>45397710.630000003</v>
      </c>
      <c r="F32" s="684">
        <f t="shared" si="7"/>
        <v>15001622.160000008</v>
      </c>
      <c r="G32" s="684">
        <f t="shared" si="8"/>
        <v>29617095.800000075</v>
      </c>
      <c r="H32" s="684">
        <f t="shared" si="9"/>
        <v>263001549.60001037</v>
      </c>
    </row>
    <row r="33" spans="2:8">
      <c r="B33" s="646" t="s">
        <v>281</v>
      </c>
      <c r="C33" s="684">
        <f t="shared" si="4"/>
        <v>114192288.66002211</v>
      </c>
      <c r="D33" s="684">
        <f t="shared" si="5"/>
        <v>16081517.17</v>
      </c>
      <c r="E33" s="684">
        <f t="shared" si="6"/>
        <v>22652175.840000015</v>
      </c>
      <c r="F33" s="684">
        <f t="shared" si="7"/>
        <v>13607768.720000001</v>
      </c>
      <c r="G33" s="684">
        <f t="shared" si="8"/>
        <v>24018199.310000163</v>
      </c>
      <c r="H33" s="684">
        <f t="shared" si="9"/>
        <v>190551949.70002228</v>
      </c>
    </row>
    <row r="34" spans="2:8">
      <c r="B34" s="646" t="s">
        <v>282</v>
      </c>
      <c r="C34" s="684">
        <f t="shared" si="4"/>
        <v>113528345.03002146</v>
      </c>
      <c r="D34" s="684">
        <f t="shared" si="5"/>
        <v>16110108.190000001</v>
      </c>
      <c r="E34" s="684">
        <f t="shared" si="6"/>
        <v>22479242.950000007</v>
      </c>
      <c r="F34" s="684">
        <f t="shared" si="7"/>
        <v>13997193.58</v>
      </c>
      <c r="G34" s="684">
        <f t="shared" si="8"/>
        <v>23930858.68000013</v>
      </c>
      <c r="H34" s="684">
        <f t="shared" si="9"/>
        <v>190045748.43002161</v>
      </c>
    </row>
    <row r="35" spans="2:8">
      <c r="B35" s="646" t="s">
        <v>283</v>
      </c>
      <c r="C35" s="684">
        <f t="shared" si="4"/>
        <v>114270901.62002152</v>
      </c>
      <c r="D35" s="684">
        <f t="shared" si="5"/>
        <v>16116095.090000002</v>
      </c>
      <c r="E35" s="684">
        <f t="shared" si="6"/>
        <v>22846958.710000008</v>
      </c>
      <c r="F35" s="684">
        <f t="shared" si="7"/>
        <v>13670491.16</v>
      </c>
      <c r="G35" s="684">
        <f t="shared" si="8"/>
        <v>23849551.110000137</v>
      </c>
      <c r="H35" s="684">
        <f t="shared" si="9"/>
        <v>190753997.69002166</v>
      </c>
    </row>
    <row r="36" spans="2:8">
      <c r="B36" s="646" t="s">
        <v>284</v>
      </c>
      <c r="C36" s="684">
        <f t="shared" si="4"/>
        <v>0</v>
      </c>
      <c r="D36" s="684">
        <f t="shared" si="5"/>
        <v>0</v>
      </c>
      <c r="E36" s="684">
        <f t="shared" si="6"/>
        <v>0</v>
      </c>
      <c r="F36" s="684">
        <f t="shared" si="7"/>
        <v>0</v>
      </c>
      <c r="G36" s="684">
        <f t="shared" si="8"/>
        <v>0</v>
      </c>
      <c r="H36" s="684">
        <f t="shared" si="9"/>
        <v>0</v>
      </c>
    </row>
    <row r="37" spans="2:8">
      <c r="B37" s="646" t="s">
        <v>285</v>
      </c>
      <c r="C37" s="684">
        <f t="shared" si="4"/>
        <v>0</v>
      </c>
      <c r="D37" s="684">
        <f t="shared" si="5"/>
        <v>0</v>
      </c>
      <c r="E37" s="684">
        <f t="shared" si="6"/>
        <v>0</v>
      </c>
      <c r="F37" s="684">
        <f t="shared" si="7"/>
        <v>0</v>
      </c>
      <c r="G37" s="684">
        <f t="shared" si="8"/>
        <v>0</v>
      </c>
      <c r="H37" s="684">
        <f t="shared" si="9"/>
        <v>0</v>
      </c>
    </row>
    <row r="38" spans="2:8">
      <c r="B38" s="646" t="s">
        <v>286</v>
      </c>
      <c r="C38" s="684">
        <f t="shared" si="4"/>
        <v>0</v>
      </c>
      <c r="D38" s="684">
        <f t="shared" si="5"/>
        <v>0</v>
      </c>
      <c r="E38" s="684">
        <f t="shared" si="6"/>
        <v>0</v>
      </c>
      <c r="F38" s="684">
        <f t="shared" si="7"/>
        <v>0</v>
      </c>
      <c r="G38" s="684">
        <f t="shared" si="8"/>
        <v>0</v>
      </c>
      <c r="H38" s="684">
        <f t="shared" si="9"/>
        <v>0</v>
      </c>
    </row>
    <row r="39" spans="2:8">
      <c r="B39" s="646" t="s">
        <v>287</v>
      </c>
      <c r="C39" s="684">
        <f t="shared" si="4"/>
        <v>0</v>
      </c>
      <c r="D39" s="684">
        <f t="shared" si="5"/>
        <v>0</v>
      </c>
      <c r="E39" s="684">
        <f t="shared" si="6"/>
        <v>0</v>
      </c>
      <c r="F39" s="684">
        <f t="shared" si="7"/>
        <v>0</v>
      </c>
      <c r="G39" s="684">
        <f t="shared" si="8"/>
        <v>0</v>
      </c>
      <c r="H39" s="684">
        <f t="shared" si="9"/>
        <v>0</v>
      </c>
    </row>
    <row r="40" spans="2:8">
      <c r="B40" s="646" t="s">
        <v>288</v>
      </c>
      <c r="C40" s="684">
        <f t="shared" si="4"/>
        <v>0</v>
      </c>
      <c r="D40" s="684">
        <f t="shared" si="5"/>
        <v>0</v>
      </c>
      <c r="E40" s="684">
        <f t="shared" si="6"/>
        <v>0</v>
      </c>
      <c r="F40" s="684">
        <f t="shared" si="7"/>
        <v>0</v>
      </c>
      <c r="G40" s="684">
        <f t="shared" si="8"/>
        <v>0</v>
      </c>
      <c r="H40" s="684">
        <f t="shared" si="9"/>
        <v>0</v>
      </c>
    </row>
    <row r="41" spans="2:8">
      <c r="B41" s="646" t="s">
        <v>289</v>
      </c>
      <c r="C41" s="684">
        <f t="shared" si="4"/>
        <v>0</v>
      </c>
      <c r="D41" s="684">
        <f t="shared" si="5"/>
        <v>0</v>
      </c>
      <c r="E41" s="684">
        <f t="shared" si="6"/>
        <v>0</v>
      </c>
      <c r="F41" s="684">
        <f t="shared" si="7"/>
        <v>0</v>
      </c>
      <c r="G41" s="684">
        <f t="shared" si="8"/>
        <v>0</v>
      </c>
      <c r="H41" s="684">
        <f t="shared" si="9"/>
        <v>0</v>
      </c>
    </row>
    <row r="42" spans="2:8" ht="31.5">
      <c r="B42" s="685" t="s">
        <v>501</v>
      </c>
      <c r="C42" s="684">
        <f>SUM(C$30:C$41)</f>
        <v>618881023.3800981</v>
      </c>
      <c r="D42" s="684">
        <f t="shared" ref="D42:H42" si="10">SUM(D$30:D$41)</f>
        <v>82789300.650000006</v>
      </c>
      <c r="E42" s="684">
        <f t="shared" si="10"/>
        <v>137239879.47000003</v>
      </c>
      <c r="F42" s="684">
        <f t="shared" si="10"/>
        <v>69849477</v>
      </c>
      <c r="G42" s="684">
        <f t="shared" si="10"/>
        <v>127134043.18000071</v>
      </c>
      <c r="H42" s="684">
        <f t="shared" si="10"/>
        <v>1035893723.6800988</v>
      </c>
    </row>
  </sheetData>
  <mergeCells count="1">
    <mergeCell ref="B28:H28"/>
  </mergeCells>
  <phoneticPr fontId="105" type="noConversion"/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02AC0-B40B-46A1-9EF5-D5089679DA19}">
  <sheetPr>
    <tabColor rgb="FFFFFF00"/>
  </sheetPr>
  <dimension ref="A2:U42"/>
  <sheetViews>
    <sheetView topLeftCell="O3" workbookViewId="0">
      <selection activeCell="R12" sqref="R12"/>
    </sheetView>
  </sheetViews>
  <sheetFormatPr baseColWidth="10" defaultRowHeight="15.75"/>
  <cols>
    <col min="1" max="1" width="11.25" style="646" customWidth="1"/>
    <col min="2" max="2" width="24" style="646" customWidth="1"/>
    <col min="3" max="3" width="20.875" style="646" customWidth="1"/>
    <col min="4" max="4" width="21" style="646" customWidth="1"/>
    <col min="5" max="5" width="18.5" style="646" customWidth="1"/>
    <col min="6" max="6" width="22" style="646" customWidth="1"/>
    <col min="7" max="7" width="20.25" style="646" customWidth="1"/>
    <col min="8" max="8" width="24.25" style="646" customWidth="1"/>
    <col min="9" max="9" width="19.75" style="646" customWidth="1"/>
    <col min="10" max="10" width="16.5" style="646" customWidth="1"/>
    <col min="11" max="11" width="18.75" style="646" customWidth="1"/>
    <col min="12" max="12" width="20.125" style="646" customWidth="1"/>
    <col min="13" max="15" width="17.875" style="646" customWidth="1"/>
    <col min="16" max="16" width="14.375" style="646" customWidth="1"/>
    <col min="17" max="17" width="15.75" style="646" customWidth="1"/>
    <col min="18" max="16384" width="11" style="646"/>
  </cols>
  <sheetData>
    <row r="2" spans="1:21">
      <c r="A2" s="646" t="s">
        <v>609</v>
      </c>
    </row>
    <row r="3" spans="1:21">
      <c r="A3" s="646">
        <v>2024</v>
      </c>
    </row>
    <row r="5" spans="1:21" ht="30" customHeight="1">
      <c r="A5" s="646" t="s">
        <v>436</v>
      </c>
      <c r="B5" s="647" t="s">
        <v>2</v>
      </c>
      <c r="C5" s="647" t="s">
        <v>3</v>
      </c>
      <c r="D5" s="647" t="s">
        <v>4</v>
      </c>
      <c r="E5" s="647" t="s">
        <v>5</v>
      </c>
      <c r="F5" s="647" t="s">
        <v>6</v>
      </c>
      <c r="G5" s="647" t="s">
        <v>7</v>
      </c>
      <c r="H5" s="647" t="s">
        <v>8</v>
      </c>
      <c r="I5" s="647" t="s">
        <v>9</v>
      </c>
      <c r="J5" s="647" t="s">
        <v>10</v>
      </c>
      <c r="K5" s="647" t="s">
        <v>11</v>
      </c>
      <c r="L5" s="647" t="s">
        <v>12</v>
      </c>
      <c r="M5" s="647" t="s">
        <v>13</v>
      </c>
      <c r="N5" s="647" t="s">
        <v>529</v>
      </c>
      <c r="O5" s="647" t="s">
        <v>530</v>
      </c>
      <c r="P5" s="647" t="s">
        <v>14</v>
      </c>
      <c r="Q5" s="3" t="s">
        <v>550</v>
      </c>
    </row>
    <row r="6" spans="1:21">
      <c r="A6" s="648">
        <v>45658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649"/>
    </row>
    <row r="7" spans="1:21" s="650" customFormat="1">
      <c r="A7" s="648">
        <v>45689</v>
      </c>
      <c r="B7" s="4">
        <v>105579925.02000752</v>
      </c>
      <c r="C7" s="4">
        <v>12937154.189999999</v>
      </c>
      <c r="D7" s="4">
        <v>23309006.76999981</v>
      </c>
      <c r="E7" s="4">
        <v>9040534.8099999987</v>
      </c>
      <c r="F7" s="4">
        <v>28892700.409999937</v>
      </c>
      <c r="G7" s="4">
        <v>1636926.9600000007</v>
      </c>
      <c r="H7" s="4">
        <v>76912380.590014741</v>
      </c>
      <c r="I7" s="4">
        <v>4579720.129999999</v>
      </c>
      <c r="J7" s="4">
        <v>8773670.9800000265</v>
      </c>
      <c r="K7" s="4">
        <v>4666364.43</v>
      </c>
      <c r="L7" s="4">
        <v>16059751.59999999</v>
      </c>
      <c r="M7" s="4">
        <v>3166201.0200000042</v>
      </c>
      <c r="N7" s="4">
        <f>SUM(Tabla2114[[#This Row],[FAC RESIDENCIAL NOROESTE-SUROESTE]:[FAC OTROS NOROESTE-SUROESTE]])</f>
        <v>181396248.16000727</v>
      </c>
      <c r="O7" s="4">
        <f t="shared" ref="O7:O12" si="0">SUM(H7:M7)</f>
        <v>114158088.75001478</v>
      </c>
      <c r="P7" s="652">
        <f t="shared" ref="P7:P12" si="1">SUM(B7:M7)</f>
        <v>295554336.91002196</v>
      </c>
      <c r="Q7" s="737" t="e">
        <f t="shared" ref="Q7:Q9" si="2">(P7-P6)/P6</f>
        <v>#DIV/0!</v>
      </c>
      <c r="R7" s="646"/>
      <c r="S7" s="646"/>
      <c r="T7" s="646"/>
      <c r="U7" s="646"/>
    </row>
    <row r="8" spans="1:21">
      <c r="A8" s="648">
        <v>45717</v>
      </c>
      <c r="B8" s="697">
        <v>140167951.81000051</v>
      </c>
      <c r="C8" s="550">
        <v>14162490.289999999</v>
      </c>
      <c r="D8" s="697">
        <v>44674871.959999807</v>
      </c>
      <c r="E8" s="550">
        <v>9799232.6900000051</v>
      </c>
      <c r="F8" s="697">
        <v>32964869.289999813</v>
      </c>
      <c r="G8" s="550">
        <v>1143556.4600000007</v>
      </c>
      <c r="H8" s="552">
        <v>74949030.970006973</v>
      </c>
      <c r="I8" s="698">
        <v>5167970.5699999994</v>
      </c>
      <c r="J8" s="552">
        <v>8921527.790000027</v>
      </c>
      <c r="K8" s="698">
        <v>5333655.5900000017</v>
      </c>
      <c r="L8" s="552">
        <v>15859416.419999965</v>
      </c>
      <c r="M8" s="4">
        <v>3064618.6899999985</v>
      </c>
      <c r="N8" s="4">
        <f>SUM(Tabla2114[[#This Row],[FAC RESIDENCIAL NOROESTE-SUROESTE]:[FAC OTROS NOROESTE-SUROESTE]])</f>
        <v>242912972.50000012</v>
      </c>
      <c r="O8" s="4">
        <f t="shared" si="0"/>
        <v>113296220.03000695</v>
      </c>
      <c r="P8" s="652">
        <f t="shared" si="1"/>
        <v>356209192.530007</v>
      </c>
      <c r="Q8" s="737">
        <f t="shared" si="2"/>
        <v>0.20522404189403148</v>
      </c>
    </row>
    <row r="9" spans="1:21">
      <c r="A9" s="648">
        <v>45748</v>
      </c>
      <c r="B9" s="679">
        <v>102568091.83001357</v>
      </c>
      <c r="C9" s="678">
        <v>12850430.74</v>
      </c>
      <c r="D9" s="679">
        <v>22513678.800000101</v>
      </c>
      <c r="E9" s="678">
        <v>9058192.2200000007</v>
      </c>
      <c r="F9" s="679">
        <v>28033906.930000156</v>
      </c>
      <c r="G9" s="678">
        <v>847611.02999999945</v>
      </c>
      <c r="H9" s="680">
        <v>72535796.200008839</v>
      </c>
      <c r="I9" s="681">
        <v>4433138.28</v>
      </c>
      <c r="J9" s="680">
        <v>8465883.8900000434</v>
      </c>
      <c r="K9" s="681">
        <v>4687266.5799999991</v>
      </c>
      <c r="L9" s="680">
        <v>15318783.010000143</v>
      </c>
      <c r="M9" s="4">
        <v>2879351.6300000194</v>
      </c>
      <c r="N9" s="4">
        <f>SUM(Tabla2114[[#This Row],[FAC RESIDENCIAL NOROESTE-SUROESTE]:[FAC OTROS NOROESTE-SUROESTE]])</f>
        <v>175871911.55001381</v>
      </c>
      <c r="O9" s="4">
        <f t="shared" si="0"/>
        <v>108320219.59000905</v>
      </c>
      <c r="P9" s="652">
        <f t="shared" si="1"/>
        <v>284192131.14002287</v>
      </c>
      <c r="Q9" s="737">
        <f t="shared" si="2"/>
        <v>-0.202176313526545</v>
      </c>
    </row>
    <row r="10" spans="1:21">
      <c r="A10" s="648">
        <v>45778</v>
      </c>
      <c r="B10" s="851">
        <v>103789083.62001544</v>
      </c>
      <c r="C10" s="851">
        <v>13076089.200000003</v>
      </c>
      <c r="D10" s="851">
        <v>22630635.879999768</v>
      </c>
      <c r="E10" s="851">
        <v>9263416.1099999994</v>
      </c>
      <c r="F10" s="851">
        <v>28714969.749999732</v>
      </c>
      <c r="G10" s="851">
        <v>900081.37000000081</v>
      </c>
      <c r="H10" s="851">
        <v>73393242.940018505</v>
      </c>
      <c r="I10" s="851">
        <v>4440132.72</v>
      </c>
      <c r="J10" s="851">
        <v>8604218.6000000052</v>
      </c>
      <c r="K10" s="851">
        <v>4878977.3099999996</v>
      </c>
      <c r="L10" s="851">
        <v>15485960.770000126</v>
      </c>
      <c r="M10" s="851">
        <v>2958659.4700000109</v>
      </c>
      <c r="N10" s="4">
        <f>SUM(Tabla2114[[#This Row],[FAC RESIDENCIAL NOROESTE-SUROESTE]:[FAC OTROS NOROESTE-SUROESTE]])</f>
        <v>178374275.93001494</v>
      </c>
      <c r="O10" s="4">
        <f t="shared" si="0"/>
        <v>109761191.81001866</v>
      </c>
      <c r="P10" s="652">
        <f t="shared" si="1"/>
        <v>288135467.74003357</v>
      </c>
      <c r="Q10" s="737">
        <f t="shared" ref="Q10:Q14" si="3">(P10-P9)/P9</f>
        <v>1.3875600933045509E-2</v>
      </c>
    </row>
    <row r="11" spans="1:21">
      <c r="A11" s="648">
        <v>45809</v>
      </c>
      <c r="B11" s="855">
        <v>104898789.58000022</v>
      </c>
      <c r="C11" s="855">
        <v>13168598.660000002</v>
      </c>
      <c r="D11" s="855">
        <v>23048765.309999816</v>
      </c>
      <c r="E11" s="855">
        <v>9099380.2599999998</v>
      </c>
      <c r="F11" s="855">
        <v>28838496.339999631</v>
      </c>
      <c r="G11" s="855">
        <v>1590832.0199999996</v>
      </c>
      <c r="H11" s="855">
        <v>73846658.900011182</v>
      </c>
      <c r="I11" s="855">
        <v>4400936.6500000004</v>
      </c>
      <c r="J11" s="855">
        <v>8688047.4199999683</v>
      </c>
      <c r="K11" s="855">
        <v>4717380.2700000005</v>
      </c>
      <c r="L11" s="855">
        <v>15592032.420000052</v>
      </c>
      <c r="M11" s="855">
        <v>2986971.5200000214</v>
      </c>
      <c r="N11" s="4">
        <f>SUM(Tabla2114[[#This Row],[FAC RESIDENCIAL NOROESTE-SUROESTE]:[FAC OTROS NOROESTE-SUROESTE]])</f>
        <v>180644862.16999969</v>
      </c>
      <c r="O11" s="4">
        <f t="shared" si="0"/>
        <v>110232027.18001123</v>
      </c>
      <c r="P11" s="652">
        <f t="shared" si="1"/>
        <v>290876889.35001093</v>
      </c>
      <c r="Q11" s="737">
        <f>(P11-P10)/P10</f>
        <v>9.5143497309771539E-3</v>
      </c>
      <c r="R11" s="737">
        <f>+(P11-P8)/P8</f>
        <v>-0.18340993031641789</v>
      </c>
    </row>
    <row r="12" spans="1:21">
      <c r="A12" s="648">
        <v>45839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>
        <f>SUM(Tabla2114[[#This Row],[FAC RESIDENCIAL NOROESTE-SUROESTE]:[FAC OTROS NOROESTE-SUROESTE]])</f>
        <v>0</v>
      </c>
      <c r="O12" s="4">
        <f t="shared" si="0"/>
        <v>0</v>
      </c>
      <c r="P12" s="652">
        <f t="shared" si="1"/>
        <v>0</v>
      </c>
      <c r="Q12" s="737">
        <f t="shared" si="3"/>
        <v>-1</v>
      </c>
    </row>
    <row r="13" spans="1:21">
      <c r="A13" s="648">
        <v>45870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719"/>
      <c r="N13" s="4"/>
      <c r="O13" s="4"/>
      <c r="P13" s="652"/>
      <c r="Q13" s="737" t="e">
        <f t="shared" si="3"/>
        <v>#DIV/0!</v>
      </c>
    </row>
    <row r="14" spans="1:21">
      <c r="A14" s="648">
        <v>45901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719"/>
      <c r="N14" s="4"/>
      <c r="O14" s="4"/>
      <c r="P14" s="652"/>
      <c r="Q14" s="737" t="e">
        <f t="shared" si="3"/>
        <v>#DIV/0!</v>
      </c>
      <c r="R14" s="737">
        <f>+(P14-P11)/P11</f>
        <v>-1</v>
      </c>
    </row>
    <row r="15" spans="1:21">
      <c r="A15" s="648">
        <v>45931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764"/>
      <c r="N15" s="4"/>
      <c r="O15" s="4"/>
      <c r="P15" s="652"/>
      <c r="Q15" s="737" t="e">
        <f>(P15-P14)/P14</f>
        <v>#DIV/0!</v>
      </c>
    </row>
    <row r="16" spans="1:21">
      <c r="A16" s="648">
        <v>45962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719"/>
      <c r="N16" s="4"/>
      <c r="O16" s="4"/>
      <c r="P16" s="652"/>
      <c r="Q16" s="737" t="e">
        <f>(P16-P15)/P15</f>
        <v>#DIV/0!</v>
      </c>
    </row>
    <row r="17" spans="1:18">
      <c r="A17" s="648">
        <v>45992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764"/>
      <c r="N17" s="4"/>
      <c r="O17" s="4"/>
      <c r="P17" s="652"/>
      <c r="Q17" s="737" t="e">
        <f>(P17-P16)/P16</f>
        <v>#DIV/0!</v>
      </c>
      <c r="R17" s="737" t="e">
        <f>+(P17-P14)/P14</f>
        <v>#DIV/0!</v>
      </c>
    </row>
    <row r="18" spans="1:18">
      <c r="A18" s="651"/>
    </row>
    <row r="19" spans="1:18">
      <c r="A19" s="651"/>
    </row>
    <row r="20" spans="1:18">
      <c r="A20" s="651"/>
    </row>
    <row r="21" spans="1:18">
      <c r="A21" s="651"/>
    </row>
    <row r="22" spans="1:18">
      <c r="A22" s="651"/>
    </row>
    <row r="28" spans="1:18">
      <c r="B28" s="868" t="s">
        <v>495</v>
      </c>
      <c r="C28" s="868"/>
      <c r="D28" s="868"/>
      <c r="E28" s="868"/>
      <c r="F28" s="868"/>
      <c r="G28" s="868"/>
      <c r="H28" s="868"/>
    </row>
    <row r="29" spans="1:18">
      <c r="B29" s="646" t="s">
        <v>496</v>
      </c>
      <c r="C29" s="646" t="s">
        <v>497</v>
      </c>
      <c r="D29" s="646" t="s">
        <v>498</v>
      </c>
      <c r="E29" s="646" t="s">
        <v>499</v>
      </c>
      <c r="F29" s="646" t="s">
        <v>482</v>
      </c>
      <c r="G29" s="646" t="s">
        <v>481</v>
      </c>
      <c r="H29" s="685" t="s">
        <v>500</v>
      </c>
    </row>
    <row r="30" spans="1:18">
      <c r="B30" s="646" t="s">
        <v>453</v>
      </c>
      <c r="C30" s="684">
        <f t="shared" ref="C30:C41" si="4">$B6+$H6</f>
        <v>0</v>
      </c>
      <c r="D30" s="684">
        <f t="shared" ref="D30:D41" si="5">$C6+$I6</f>
        <v>0</v>
      </c>
      <c r="E30" s="684">
        <f t="shared" ref="E30:E41" si="6">$D6+$J6</f>
        <v>0</v>
      </c>
      <c r="F30" s="684">
        <f t="shared" ref="F30:F41" si="7">$E6+$K6</f>
        <v>0</v>
      </c>
      <c r="G30" s="684">
        <f t="shared" ref="G30:G41" si="8">$F6+$L6</f>
        <v>0</v>
      </c>
      <c r="H30" s="684">
        <f>SUM($C30:$G30)</f>
        <v>0</v>
      </c>
    </row>
    <row r="31" spans="1:18">
      <c r="B31" s="646" t="s">
        <v>279</v>
      </c>
      <c r="C31" s="684">
        <f>$B7+$H7</f>
        <v>182492305.61002225</v>
      </c>
      <c r="D31" s="684">
        <f t="shared" si="5"/>
        <v>17516874.32</v>
      </c>
      <c r="E31" s="684">
        <f t="shared" si="6"/>
        <v>32082677.749999836</v>
      </c>
      <c r="F31" s="684">
        <f t="shared" si="7"/>
        <v>13706899.239999998</v>
      </c>
      <c r="G31" s="684">
        <f t="shared" si="8"/>
        <v>44952452.009999931</v>
      </c>
      <c r="H31" s="684">
        <f t="shared" ref="H31:H41" si="9">SUM($C31:$G31)</f>
        <v>290751208.930022</v>
      </c>
    </row>
    <row r="32" spans="1:18">
      <c r="B32" s="646" t="s">
        <v>280</v>
      </c>
      <c r="C32" s="684">
        <f t="shared" si="4"/>
        <v>215116982.78000748</v>
      </c>
      <c r="D32" s="684">
        <f t="shared" si="5"/>
        <v>19330460.859999999</v>
      </c>
      <c r="E32" s="684">
        <f t="shared" si="6"/>
        <v>53596399.749999836</v>
      </c>
      <c r="F32" s="684">
        <f t="shared" si="7"/>
        <v>15132888.280000007</v>
      </c>
      <c r="G32" s="684">
        <f>$F8+$L8</f>
        <v>48824285.709999777</v>
      </c>
      <c r="H32" s="684">
        <f t="shared" si="9"/>
        <v>352001017.38000715</v>
      </c>
    </row>
    <row r="33" spans="2:8">
      <c r="B33" s="646" t="s">
        <v>281</v>
      </c>
      <c r="C33" s="684">
        <f t="shared" si="4"/>
        <v>175103888.03002241</v>
      </c>
      <c r="D33" s="684">
        <f t="shared" si="5"/>
        <v>17283569.02</v>
      </c>
      <c r="E33" s="684">
        <f t="shared" si="6"/>
        <v>30979562.690000147</v>
      </c>
      <c r="F33" s="684">
        <f t="shared" si="7"/>
        <v>13745458.800000001</v>
      </c>
      <c r="G33" s="684">
        <f t="shared" si="8"/>
        <v>43352689.940000296</v>
      </c>
      <c r="H33" s="684">
        <f t="shared" si="9"/>
        <v>280465168.48002291</v>
      </c>
    </row>
    <row r="34" spans="2:8">
      <c r="B34" s="646" t="s">
        <v>282</v>
      </c>
      <c r="C34" s="684">
        <f t="shared" si="4"/>
        <v>177182326.56003395</v>
      </c>
      <c r="D34" s="684">
        <f t="shared" si="5"/>
        <v>17516221.920000002</v>
      </c>
      <c r="E34" s="684">
        <f t="shared" si="6"/>
        <v>31234854.479999773</v>
      </c>
      <c r="F34" s="684">
        <f t="shared" si="7"/>
        <v>14142393.419999998</v>
      </c>
      <c r="G34" s="684">
        <f t="shared" si="8"/>
        <v>44200930.519999862</v>
      </c>
      <c r="H34" s="684">
        <f t="shared" si="9"/>
        <v>284276726.90003359</v>
      </c>
    </row>
    <row r="35" spans="2:8">
      <c r="B35" s="646" t="s">
        <v>283</v>
      </c>
      <c r="C35" s="684">
        <f t="shared" si="4"/>
        <v>178745448.4800114</v>
      </c>
      <c r="D35" s="684">
        <f t="shared" si="5"/>
        <v>17569535.310000002</v>
      </c>
      <c r="E35" s="684">
        <f t="shared" si="6"/>
        <v>31736812.729999784</v>
      </c>
      <c r="F35" s="684">
        <f t="shared" si="7"/>
        <v>13816760.530000001</v>
      </c>
      <c r="G35" s="684">
        <f t="shared" si="8"/>
        <v>44430528.759999685</v>
      </c>
      <c r="H35" s="684">
        <f t="shared" si="9"/>
        <v>286299085.81001085</v>
      </c>
    </row>
    <row r="36" spans="2:8">
      <c r="B36" s="646" t="s">
        <v>284</v>
      </c>
      <c r="C36" s="684">
        <f t="shared" si="4"/>
        <v>0</v>
      </c>
      <c r="D36" s="684">
        <f t="shared" si="5"/>
        <v>0</v>
      </c>
      <c r="E36" s="684">
        <f t="shared" si="6"/>
        <v>0</v>
      </c>
      <c r="F36" s="684">
        <f t="shared" si="7"/>
        <v>0</v>
      </c>
      <c r="G36" s="684">
        <f t="shared" si="8"/>
        <v>0</v>
      </c>
      <c r="H36" s="684">
        <f t="shared" si="9"/>
        <v>0</v>
      </c>
    </row>
    <row r="37" spans="2:8">
      <c r="B37" s="646" t="s">
        <v>285</v>
      </c>
      <c r="C37" s="684">
        <f t="shared" si="4"/>
        <v>0</v>
      </c>
      <c r="D37" s="684">
        <f t="shared" si="5"/>
        <v>0</v>
      </c>
      <c r="E37" s="684">
        <f t="shared" si="6"/>
        <v>0</v>
      </c>
      <c r="F37" s="684">
        <f t="shared" si="7"/>
        <v>0</v>
      </c>
      <c r="G37" s="684">
        <f t="shared" si="8"/>
        <v>0</v>
      </c>
      <c r="H37" s="684">
        <f t="shared" si="9"/>
        <v>0</v>
      </c>
    </row>
    <row r="38" spans="2:8">
      <c r="B38" s="646" t="s">
        <v>286</v>
      </c>
      <c r="C38" s="684">
        <f t="shared" si="4"/>
        <v>0</v>
      </c>
      <c r="D38" s="684">
        <f t="shared" si="5"/>
        <v>0</v>
      </c>
      <c r="E38" s="684">
        <f t="shared" si="6"/>
        <v>0</v>
      </c>
      <c r="F38" s="684">
        <f t="shared" si="7"/>
        <v>0</v>
      </c>
      <c r="G38" s="684">
        <f t="shared" si="8"/>
        <v>0</v>
      </c>
      <c r="H38" s="684">
        <f t="shared" si="9"/>
        <v>0</v>
      </c>
    </row>
    <row r="39" spans="2:8">
      <c r="B39" s="646" t="s">
        <v>287</v>
      </c>
      <c r="C39" s="684">
        <f t="shared" si="4"/>
        <v>0</v>
      </c>
      <c r="D39" s="684">
        <f t="shared" si="5"/>
        <v>0</v>
      </c>
      <c r="E39" s="684">
        <f t="shared" si="6"/>
        <v>0</v>
      </c>
      <c r="F39" s="684">
        <f t="shared" si="7"/>
        <v>0</v>
      </c>
      <c r="G39" s="684">
        <f t="shared" si="8"/>
        <v>0</v>
      </c>
      <c r="H39" s="684">
        <f t="shared" si="9"/>
        <v>0</v>
      </c>
    </row>
    <row r="40" spans="2:8">
      <c r="B40" s="646" t="s">
        <v>288</v>
      </c>
      <c r="C40" s="684">
        <f t="shared" si="4"/>
        <v>0</v>
      </c>
      <c r="D40" s="684">
        <f t="shared" si="5"/>
        <v>0</v>
      </c>
      <c r="E40" s="684">
        <f t="shared" si="6"/>
        <v>0</v>
      </c>
      <c r="F40" s="684">
        <f t="shared" si="7"/>
        <v>0</v>
      </c>
      <c r="G40" s="684">
        <f t="shared" si="8"/>
        <v>0</v>
      </c>
      <c r="H40" s="684">
        <f t="shared" si="9"/>
        <v>0</v>
      </c>
    </row>
    <row r="41" spans="2:8">
      <c r="B41" s="646" t="s">
        <v>289</v>
      </c>
      <c r="C41" s="684">
        <f t="shared" si="4"/>
        <v>0</v>
      </c>
      <c r="D41" s="684">
        <f t="shared" si="5"/>
        <v>0</v>
      </c>
      <c r="E41" s="684">
        <f t="shared" si="6"/>
        <v>0</v>
      </c>
      <c r="F41" s="684">
        <f t="shared" si="7"/>
        <v>0</v>
      </c>
      <c r="G41" s="684">
        <f t="shared" si="8"/>
        <v>0</v>
      </c>
      <c r="H41" s="684">
        <f t="shared" si="9"/>
        <v>0</v>
      </c>
    </row>
    <row r="42" spans="2:8" ht="31.5">
      <c r="B42" s="685" t="s">
        <v>501</v>
      </c>
      <c r="C42" s="684">
        <f>SUM(C$30:C$41)</f>
        <v>928640951.46009755</v>
      </c>
      <c r="D42" s="684">
        <f t="shared" ref="D42:H42" si="10">SUM(D$30:D$41)</f>
        <v>89216661.430000007</v>
      </c>
      <c r="E42" s="684">
        <f t="shared" si="10"/>
        <v>179630307.39999938</v>
      </c>
      <c r="F42" s="684">
        <f t="shared" si="10"/>
        <v>70544400.270000011</v>
      </c>
      <c r="G42" s="684">
        <f t="shared" si="10"/>
        <v>225760886.93999955</v>
      </c>
      <c r="H42" s="684">
        <f t="shared" si="10"/>
        <v>1493793207.5000966</v>
      </c>
    </row>
  </sheetData>
  <mergeCells count="1">
    <mergeCell ref="B28:H28"/>
  </mergeCells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D8092-D471-457A-8E4D-0460A8A487E8}">
  <sheetPr codeName="Hoja3">
    <tabColor rgb="FFFFFF00"/>
  </sheetPr>
  <dimension ref="A2:P37"/>
  <sheetViews>
    <sheetView topLeftCell="M1" zoomScaleNormal="100" workbookViewId="0">
      <selection activeCell="N11" sqref="N11"/>
    </sheetView>
  </sheetViews>
  <sheetFormatPr baseColWidth="10" defaultRowHeight="15.75"/>
  <cols>
    <col min="2" max="2" width="26.5" customWidth="1"/>
    <col min="3" max="3" width="23.375" customWidth="1"/>
    <col min="4" max="4" width="23.625" customWidth="1"/>
    <col min="5" max="5" width="21.625" customWidth="1"/>
    <col min="6" max="6" width="25.875" customWidth="1"/>
    <col min="7" max="7" width="20.25" bestFit="1" customWidth="1"/>
    <col min="8" max="8" width="25.5" bestFit="1" customWidth="1"/>
    <col min="9" max="9" width="24.625" bestFit="1" customWidth="1"/>
    <col min="10" max="10" width="24.75" bestFit="1" customWidth="1"/>
    <col min="11" max="11" width="21.25" bestFit="1" customWidth="1"/>
    <col min="12" max="12" width="30.125" bestFit="1" customWidth="1"/>
    <col min="13" max="13" width="20.5" bestFit="1" customWidth="1"/>
    <col min="14" max="14" width="21.25" customWidth="1"/>
    <col min="15" max="15" width="15.75" customWidth="1"/>
  </cols>
  <sheetData>
    <row r="2" spans="1:16">
      <c r="A2" t="s">
        <v>0</v>
      </c>
    </row>
    <row r="3" spans="1:16">
      <c r="A3">
        <v>2024</v>
      </c>
    </row>
    <row r="4" spans="1:16">
      <c r="A4" t="s">
        <v>1</v>
      </c>
    </row>
    <row r="5" spans="1:16" ht="30" customHeight="1">
      <c r="B5" s="3" t="s">
        <v>58</v>
      </c>
      <c r="C5" s="3" t="s">
        <v>59</v>
      </c>
      <c r="D5" s="3" t="s">
        <v>60</v>
      </c>
      <c r="E5" s="3" t="s">
        <v>61</v>
      </c>
      <c r="F5" s="3" t="s">
        <v>62</v>
      </c>
      <c r="G5" s="3" t="s">
        <v>63</v>
      </c>
      <c r="H5" s="3" t="s">
        <v>64</v>
      </c>
      <c r="I5" s="3" t="s">
        <v>65</v>
      </c>
      <c r="J5" s="3" t="s">
        <v>66</v>
      </c>
      <c r="K5" s="3" t="s">
        <v>552</v>
      </c>
      <c r="L5" s="3" t="s">
        <v>67</v>
      </c>
      <c r="M5" s="3" t="s">
        <v>68</v>
      </c>
      <c r="N5" s="3" t="s">
        <v>69</v>
      </c>
      <c r="O5" s="3" t="s">
        <v>550</v>
      </c>
    </row>
    <row r="6" spans="1:16">
      <c r="A6" s="1">
        <v>45658</v>
      </c>
      <c r="B6" s="656"/>
      <c r="C6" s="656"/>
      <c r="D6" s="656"/>
      <c r="E6" s="656"/>
      <c r="F6" s="656"/>
      <c r="G6" s="656"/>
      <c r="H6" s="656"/>
      <c r="I6" s="656"/>
      <c r="J6" s="656"/>
      <c r="K6" s="656"/>
      <c r="L6" s="656"/>
      <c r="M6" s="656"/>
      <c r="N6" s="656"/>
      <c r="O6" s="46"/>
    </row>
    <row r="7" spans="1:16">
      <c r="A7" s="1">
        <v>45689</v>
      </c>
      <c r="B7" s="656">
        <v>79150962.249998778</v>
      </c>
      <c r="C7" s="656">
        <v>97947.739999999991</v>
      </c>
      <c r="D7" s="656">
        <v>4728702.71</v>
      </c>
      <c r="E7" s="656">
        <v>252662.62</v>
      </c>
      <c r="F7" s="656">
        <v>9305196.1099999957</v>
      </c>
      <c r="G7" s="656">
        <v>10618117.109999966</v>
      </c>
      <c r="H7" s="656">
        <v>9686741.1599999815</v>
      </c>
      <c r="I7" s="656">
        <v>35012.6</v>
      </c>
      <c r="J7" s="656">
        <v>5497258.6399999997</v>
      </c>
      <c r="K7" s="656">
        <v>51246.080000000002</v>
      </c>
      <c r="L7" s="656">
        <v>1173543.7100000007</v>
      </c>
      <c r="M7" s="656">
        <v>8527616.4599999934</v>
      </c>
      <c r="N7" s="707">
        <f t="shared" ref="N7:N12" si="0">SUM(B7:M7)</f>
        <v>129125007.1899987</v>
      </c>
      <c r="O7" s="726" t="e">
        <f>(N7-N6)/N6*100</f>
        <v>#DIV/0!</v>
      </c>
    </row>
    <row r="8" spans="1:16">
      <c r="A8" s="1">
        <v>45717</v>
      </c>
      <c r="B8" s="676">
        <v>72498805.839989632</v>
      </c>
      <c r="C8" s="676">
        <v>136299.56999999995</v>
      </c>
      <c r="D8" s="676">
        <v>5221475.1299999924</v>
      </c>
      <c r="E8" s="676">
        <v>283781.49000000022</v>
      </c>
      <c r="F8" s="676">
        <v>10561782.070000203</v>
      </c>
      <c r="G8" s="676">
        <v>14233995.340000531</v>
      </c>
      <c r="H8" s="676">
        <v>20072299.679999776</v>
      </c>
      <c r="I8" s="676">
        <v>49618.60000000002</v>
      </c>
      <c r="J8" s="676">
        <v>1483941.4399999778</v>
      </c>
      <c r="K8" s="676">
        <v>110385.99999999983</v>
      </c>
      <c r="L8" s="676">
        <v>1946557.5499999651</v>
      </c>
      <c r="M8" s="676">
        <v>10632152.510002429</v>
      </c>
      <c r="N8" s="707">
        <f t="shared" si="0"/>
        <v>137231095.21999249</v>
      </c>
      <c r="O8" s="726">
        <f>(N8-N7)/N7*100</f>
        <v>6.2777057724118679</v>
      </c>
    </row>
    <row r="9" spans="1:16">
      <c r="A9" s="1">
        <v>45748</v>
      </c>
      <c r="B9" s="656">
        <v>64481669.149984814</v>
      </c>
      <c r="C9" s="656">
        <v>99824.459999999948</v>
      </c>
      <c r="D9" s="656">
        <v>4322869.2699999493</v>
      </c>
      <c r="E9" s="656">
        <v>239662.35999999972</v>
      </c>
      <c r="F9" s="656">
        <v>8532108.0100001041</v>
      </c>
      <c r="G9" s="656">
        <v>7503370.2699998319</v>
      </c>
      <c r="H9" s="656">
        <v>15271677.440000888</v>
      </c>
      <c r="I9" s="656">
        <v>31884.110000000008</v>
      </c>
      <c r="J9" s="656">
        <v>1468410.399999995</v>
      </c>
      <c r="K9" s="656">
        <v>115247.78999999991</v>
      </c>
      <c r="L9" s="656">
        <v>1881248.0899999836</v>
      </c>
      <c r="M9" s="656">
        <v>11973778.95000162</v>
      </c>
      <c r="N9" s="707">
        <f t="shared" si="0"/>
        <v>115921750.2999872</v>
      </c>
      <c r="O9" s="726">
        <f>(N9-N8)/N8*100</f>
        <v>-15.528073200789294</v>
      </c>
    </row>
    <row r="10" spans="1:16">
      <c r="A10" s="1">
        <v>45778</v>
      </c>
      <c r="B10" s="656">
        <v>77658815.489998564</v>
      </c>
      <c r="C10" s="656">
        <v>138207.42999999991</v>
      </c>
      <c r="D10" s="656">
        <v>5172720.0299999984</v>
      </c>
      <c r="E10" s="656">
        <v>283198.69999999995</v>
      </c>
      <c r="F10" s="656">
        <v>10646893.390000267</v>
      </c>
      <c r="G10" s="656">
        <v>12327864.430000408</v>
      </c>
      <c r="H10" s="656">
        <v>9045567.0300001185</v>
      </c>
      <c r="I10" s="656">
        <v>19486.330000000002</v>
      </c>
      <c r="J10" s="656">
        <v>914583.45000000077</v>
      </c>
      <c r="K10" s="656">
        <v>75823.069999999992</v>
      </c>
      <c r="L10" s="656">
        <v>1047478.1600000027</v>
      </c>
      <c r="M10" s="656">
        <v>7584170.0200011451</v>
      </c>
      <c r="N10" s="707">
        <f t="shared" si="0"/>
        <v>124914807.53000051</v>
      </c>
      <c r="O10" s="726">
        <f t="shared" ref="O10:O11" si="1">(N10-N9)/N9*100</f>
        <v>7.7578687405432527</v>
      </c>
    </row>
    <row r="11" spans="1:16">
      <c r="A11" s="1">
        <v>45809</v>
      </c>
      <c r="B11" s="656">
        <v>83490582.989996329</v>
      </c>
      <c r="C11" s="656">
        <v>137236.53999999998</v>
      </c>
      <c r="D11" s="656">
        <v>6089588.2000000589</v>
      </c>
      <c r="E11" s="656">
        <v>356333.51000000007</v>
      </c>
      <c r="F11" s="656">
        <v>10243489.770000195</v>
      </c>
      <c r="G11" s="656">
        <v>15637096.630000936</v>
      </c>
      <c r="H11" s="656">
        <v>5289973.1799998917</v>
      </c>
      <c r="I11" s="656">
        <v>16807.080000000002</v>
      </c>
      <c r="J11" s="656">
        <v>578924.98999999615</v>
      </c>
      <c r="K11" s="656">
        <v>37693.929999999971</v>
      </c>
      <c r="L11" s="656">
        <v>673290.96999999683</v>
      </c>
      <c r="M11" s="656">
        <v>5341754.6100001857</v>
      </c>
      <c r="N11" s="707">
        <f t="shared" si="0"/>
        <v>127892772.39999759</v>
      </c>
      <c r="O11" s="726">
        <f t="shared" si="1"/>
        <v>2.38399668452587</v>
      </c>
      <c r="P11" s="692">
        <f>+(N11-N8)/N8</f>
        <v>-6.8048154866248156E-2</v>
      </c>
    </row>
    <row r="12" spans="1:16">
      <c r="A12" s="1">
        <v>45839</v>
      </c>
      <c r="B12" s="656"/>
      <c r="C12" s="656"/>
      <c r="D12" s="656"/>
      <c r="E12" s="656"/>
      <c r="F12" s="656"/>
      <c r="G12" s="656"/>
      <c r="H12" s="656"/>
      <c r="I12" s="656"/>
      <c r="J12" s="656"/>
      <c r="K12" s="656"/>
      <c r="L12" s="656"/>
      <c r="M12" s="656"/>
      <c r="N12" s="707">
        <f t="shared" si="0"/>
        <v>0</v>
      </c>
      <c r="O12" s="726"/>
      <c r="P12" s="692"/>
    </row>
    <row r="13" spans="1:16">
      <c r="A13" s="1">
        <v>45870</v>
      </c>
      <c r="B13" s="656"/>
      <c r="C13" s="656"/>
      <c r="D13" s="656"/>
      <c r="E13" s="656"/>
      <c r="F13" s="656"/>
      <c r="G13" s="656"/>
      <c r="H13" s="656"/>
      <c r="I13" s="656"/>
      <c r="J13" s="656"/>
      <c r="K13" s="656"/>
      <c r="L13" s="656"/>
      <c r="M13" s="656"/>
      <c r="N13" s="707">
        <f t="shared" ref="N13:N17" si="2">SUM(B13:M13)</f>
        <v>0</v>
      </c>
      <c r="O13" s="726" t="e">
        <f>(N13-N12)/N12*100</f>
        <v>#DIV/0!</v>
      </c>
      <c r="P13" s="692"/>
    </row>
    <row r="14" spans="1:16">
      <c r="A14" s="1">
        <v>45901</v>
      </c>
      <c r="B14" s="656"/>
      <c r="C14" s="656"/>
      <c r="D14" s="656"/>
      <c r="E14" s="656"/>
      <c r="F14" s="656"/>
      <c r="G14" s="656"/>
      <c r="H14" s="656"/>
      <c r="I14" s="656"/>
      <c r="J14" s="656"/>
      <c r="K14" s="656"/>
      <c r="L14" s="656"/>
      <c r="M14" s="656"/>
      <c r="N14" s="707">
        <f t="shared" si="2"/>
        <v>0</v>
      </c>
      <c r="O14" s="726" t="e">
        <f>(N14-N13)/N13*100</f>
        <v>#DIV/0!</v>
      </c>
      <c r="P14" s="692">
        <f>+(N14-N11)/N11</f>
        <v>-1</v>
      </c>
    </row>
    <row r="15" spans="1:16">
      <c r="A15" s="1">
        <v>45931</v>
      </c>
      <c r="B15" s="656"/>
      <c r="C15" s="656"/>
      <c r="D15" s="656"/>
      <c r="E15" s="656"/>
      <c r="F15" s="656"/>
      <c r="G15" s="656"/>
      <c r="H15" s="656"/>
      <c r="I15" s="656"/>
      <c r="J15" s="656"/>
      <c r="K15" s="656"/>
      <c r="L15" s="656"/>
      <c r="M15" s="656"/>
      <c r="N15" s="656">
        <f t="shared" si="2"/>
        <v>0</v>
      </c>
      <c r="O15" s="726" t="e">
        <f t="shared" ref="O15" si="3">(N15-N14)/N14*100</f>
        <v>#DIV/0!</v>
      </c>
      <c r="P15" s="692"/>
    </row>
    <row r="16" spans="1:16">
      <c r="A16" s="1">
        <v>45962</v>
      </c>
      <c r="B16" s="656"/>
      <c r="C16" s="656"/>
      <c r="D16" s="656"/>
      <c r="E16" s="656"/>
      <c r="F16" s="656"/>
      <c r="G16" s="656"/>
      <c r="H16" s="656"/>
      <c r="I16" s="656"/>
      <c r="J16" s="656"/>
      <c r="K16" s="656"/>
      <c r="L16" s="656"/>
      <c r="M16" s="656"/>
      <c r="N16" s="656">
        <f t="shared" si="2"/>
        <v>0</v>
      </c>
      <c r="O16" s="726" t="e">
        <f>(N16-N15)/N15*100</f>
        <v>#DIV/0!</v>
      </c>
      <c r="P16" s="692"/>
    </row>
    <row r="17" spans="1:16">
      <c r="A17" s="1">
        <v>45992</v>
      </c>
      <c r="B17" s="656"/>
      <c r="C17" s="656"/>
      <c r="D17" s="656"/>
      <c r="E17" s="656"/>
      <c r="F17" s="656"/>
      <c r="G17" s="656"/>
      <c r="H17" s="656"/>
      <c r="I17" s="656"/>
      <c r="J17" s="656"/>
      <c r="K17" s="656"/>
      <c r="L17" s="656"/>
      <c r="M17" s="656"/>
      <c r="N17" s="656">
        <f t="shared" si="2"/>
        <v>0</v>
      </c>
      <c r="O17" s="726" t="e">
        <f>(N17-N16)/N16*100</f>
        <v>#DIV/0!</v>
      </c>
      <c r="P17" s="692" t="e">
        <f>+(N17-N14)/N14</f>
        <v>#DIV/0!</v>
      </c>
    </row>
    <row r="18" spans="1:16">
      <c r="N18" s="683">
        <f>+SUM(N6:N16)</f>
        <v>635085432.6399765</v>
      </c>
    </row>
    <row r="22" spans="1:16">
      <c r="B22" s="869" t="s">
        <v>495</v>
      </c>
      <c r="C22" s="869"/>
      <c r="D22" s="869"/>
      <c r="E22" s="869"/>
      <c r="F22" s="869"/>
      <c r="G22" s="869"/>
      <c r="H22" s="869"/>
    </row>
    <row r="23" spans="1:16">
      <c r="B23" s="869"/>
      <c r="C23" s="869"/>
      <c r="D23" s="869"/>
      <c r="E23" s="869"/>
      <c r="F23" s="869"/>
      <c r="G23" s="869"/>
      <c r="H23" s="869"/>
    </row>
    <row r="24" spans="1:16">
      <c r="B24" t="s">
        <v>477</v>
      </c>
      <c r="C24" t="s">
        <v>478</v>
      </c>
      <c r="D24" t="s">
        <v>479</v>
      </c>
      <c r="E24" t="s">
        <v>480</v>
      </c>
      <c r="F24" t="s">
        <v>482</v>
      </c>
      <c r="G24" t="s">
        <v>481</v>
      </c>
      <c r="H24" t="s">
        <v>502</v>
      </c>
    </row>
    <row r="25" spans="1:16">
      <c r="B25" t="s">
        <v>483</v>
      </c>
      <c r="C25" s="683">
        <f>$B6+$H6</f>
        <v>0</v>
      </c>
      <c r="D25" s="683">
        <f>$C6+$I6</f>
        <v>0</v>
      </c>
      <c r="E25" s="683">
        <f>$D6+$J6</f>
        <v>0</v>
      </c>
      <c r="F25" s="683">
        <f>$E6+$K6</f>
        <v>0</v>
      </c>
      <c r="G25" s="683">
        <f>$F6+$L6</f>
        <v>0</v>
      </c>
      <c r="H25" s="683">
        <f>SUM($C25:$G25)</f>
        <v>0</v>
      </c>
    </row>
    <row r="26" spans="1:16">
      <c r="B26" t="s">
        <v>484</v>
      </c>
      <c r="C26" s="683">
        <f>$B7+$H7</f>
        <v>88837703.40999876</v>
      </c>
      <c r="D26" s="683">
        <f>$C7+$I7</f>
        <v>132960.34</v>
      </c>
      <c r="E26" s="683">
        <f t="shared" ref="E26:E36" si="4">$D7+$J7</f>
        <v>10225961.35</v>
      </c>
      <c r="F26" s="683">
        <f t="shared" ref="F26:F36" si="5">$E7+$K7</f>
        <v>303908.7</v>
      </c>
      <c r="G26" s="683">
        <f t="shared" ref="G26:G36" si="6">$F7+$L7</f>
        <v>10478739.819999997</v>
      </c>
      <c r="H26" s="683">
        <f t="shared" ref="H26:H36" si="7">SUM($C26:$G26)</f>
        <v>109979273.61999875</v>
      </c>
    </row>
    <row r="27" spans="1:16">
      <c r="B27" t="s">
        <v>485</v>
      </c>
      <c r="C27" s="683">
        <f t="shared" ref="C27:C36" si="8">$B8+$H8</f>
        <v>92571105.519989401</v>
      </c>
      <c r="D27" s="683">
        <f t="shared" ref="D27:D36" si="9">$C8+$I8</f>
        <v>185918.16999999998</v>
      </c>
      <c r="E27" s="683">
        <f t="shared" si="4"/>
        <v>6705416.5699999705</v>
      </c>
      <c r="F27" s="683">
        <f t="shared" si="5"/>
        <v>394167.49000000005</v>
      </c>
      <c r="G27" s="683">
        <f t="shared" si="6"/>
        <v>12508339.620000169</v>
      </c>
      <c r="H27" s="683">
        <f t="shared" si="7"/>
        <v>112364947.36998954</v>
      </c>
    </row>
    <row r="28" spans="1:16">
      <c r="B28" t="s">
        <v>486</v>
      </c>
      <c r="C28" s="683">
        <f t="shared" si="8"/>
        <v>79753346.589985698</v>
      </c>
      <c r="D28" s="683">
        <f t="shared" si="9"/>
        <v>131708.56999999995</v>
      </c>
      <c r="E28" s="683">
        <f t="shared" si="4"/>
        <v>5791279.669999944</v>
      </c>
      <c r="F28" s="683">
        <f t="shared" si="5"/>
        <v>354910.14999999962</v>
      </c>
      <c r="G28" s="683">
        <f t="shared" si="6"/>
        <v>10413356.100000087</v>
      </c>
      <c r="H28" s="683">
        <f t="shared" si="7"/>
        <v>96444601.079985723</v>
      </c>
    </row>
    <row r="29" spans="1:16">
      <c r="B29" t="s">
        <v>487</v>
      </c>
      <c r="C29" s="683">
        <f t="shared" si="8"/>
        <v>86704382.519998685</v>
      </c>
      <c r="D29" s="683">
        <f t="shared" si="9"/>
        <v>157693.75999999989</v>
      </c>
      <c r="E29" s="683">
        <f t="shared" si="4"/>
        <v>6087303.4799999995</v>
      </c>
      <c r="F29" s="683">
        <f t="shared" si="5"/>
        <v>359021.76999999996</v>
      </c>
      <c r="G29" s="683">
        <f t="shared" si="6"/>
        <v>11694371.550000269</v>
      </c>
      <c r="H29" s="683">
        <f t="shared" si="7"/>
        <v>105002773.07999896</v>
      </c>
    </row>
    <row r="30" spans="1:16">
      <c r="B30" t="s">
        <v>488</v>
      </c>
      <c r="C30" s="683">
        <f t="shared" si="8"/>
        <v>88780556.169996217</v>
      </c>
      <c r="D30" s="683">
        <f t="shared" si="9"/>
        <v>154043.62</v>
      </c>
      <c r="E30" s="683">
        <f t="shared" si="4"/>
        <v>6668513.1900000554</v>
      </c>
      <c r="F30" s="683">
        <f t="shared" si="5"/>
        <v>394027.44000000006</v>
      </c>
      <c r="G30" s="683">
        <f t="shared" si="6"/>
        <v>10916780.740000192</v>
      </c>
      <c r="H30" s="683">
        <f t="shared" si="7"/>
        <v>106913921.15999646</v>
      </c>
    </row>
    <row r="31" spans="1:16">
      <c r="B31" t="s">
        <v>489</v>
      </c>
      <c r="C31" s="683">
        <f t="shared" si="8"/>
        <v>0</v>
      </c>
      <c r="D31" s="683">
        <f t="shared" si="9"/>
        <v>0</v>
      </c>
      <c r="E31" s="683">
        <f t="shared" si="4"/>
        <v>0</v>
      </c>
      <c r="F31" s="683">
        <f t="shared" si="5"/>
        <v>0</v>
      </c>
      <c r="G31" s="683">
        <f t="shared" si="6"/>
        <v>0</v>
      </c>
      <c r="H31" s="683">
        <f t="shared" si="7"/>
        <v>0</v>
      </c>
    </row>
    <row r="32" spans="1:16">
      <c r="B32" t="s">
        <v>490</v>
      </c>
      <c r="C32" s="683">
        <f t="shared" si="8"/>
        <v>0</v>
      </c>
      <c r="D32" s="683">
        <f t="shared" si="9"/>
        <v>0</v>
      </c>
      <c r="E32" s="683">
        <f t="shared" si="4"/>
        <v>0</v>
      </c>
      <c r="F32" s="683">
        <f t="shared" si="5"/>
        <v>0</v>
      </c>
      <c r="G32" s="683">
        <f t="shared" si="6"/>
        <v>0</v>
      </c>
      <c r="H32" s="683">
        <f t="shared" si="7"/>
        <v>0</v>
      </c>
    </row>
    <row r="33" spans="2:8">
      <c r="B33" t="s">
        <v>491</v>
      </c>
      <c r="C33" s="683">
        <f t="shared" si="8"/>
        <v>0</v>
      </c>
      <c r="D33" s="683">
        <f t="shared" si="9"/>
        <v>0</v>
      </c>
      <c r="E33" s="683">
        <f t="shared" si="4"/>
        <v>0</v>
      </c>
      <c r="F33" s="683">
        <f t="shared" si="5"/>
        <v>0</v>
      </c>
      <c r="G33" s="683">
        <f t="shared" si="6"/>
        <v>0</v>
      </c>
      <c r="H33" s="683">
        <f t="shared" si="7"/>
        <v>0</v>
      </c>
    </row>
    <row r="34" spans="2:8">
      <c r="B34" t="s">
        <v>492</v>
      </c>
      <c r="C34" s="683">
        <f t="shared" si="8"/>
        <v>0</v>
      </c>
      <c r="D34" s="683">
        <f t="shared" si="9"/>
        <v>0</v>
      </c>
      <c r="E34" s="683">
        <f t="shared" si="4"/>
        <v>0</v>
      </c>
      <c r="F34" s="683">
        <f t="shared" si="5"/>
        <v>0</v>
      </c>
      <c r="G34" s="683">
        <f t="shared" si="6"/>
        <v>0</v>
      </c>
      <c r="H34" s="683">
        <f t="shared" si="7"/>
        <v>0</v>
      </c>
    </row>
    <row r="35" spans="2:8">
      <c r="B35" t="s">
        <v>493</v>
      </c>
      <c r="C35" s="683">
        <f t="shared" si="8"/>
        <v>0</v>
      </c>
      <c r="D35" s="683">
        <f t="shared" si="9"/>
        <v>0</v>
      </c>
      <c r="E35" s="683">
        <f t="shared" si="4"/>
        <v>0</v>
      </c>
      <c r="F35" s="683">
        <f t="shared" si="5"/>
        <v>0</v>
      </c>
      <c r="G35" s="683">
        <f t="shared" si="6"/>
        <v>0</v>
      </c>
      <c r="H35" s="683">
        <f t="shared" si="7"/>
        <v>0</v>
      </c>
    </row>
    <row r="36" spans="2:8">
      <c r="B36" t="s">
        <v>494</v>
      </c>
      <c r="C36" s="683">
        <f t="shared" si="8"/>
        <v>0</v>
      </c>
      <c r="D36" s="683">
        <f t="shared" si="9"/>
        <v>0</v>
      </c>
      <c r="E36" s="683">
        <f t="shared" si="4"/>
        <v>0</v>
      </c>
      <c r="F36" s="683">
        <f t="shared" si="5"/>
        <v>0</v>
      </c>
      <c r="G36" s="683">
        <f t="shared" si="6"/>
        <v>0</v>
      </c>
      <c r="H36" s="683">
        <f t="shared" si="7"/>
        <v>0</v>
      </c>
    </row>
    <row r="37" spans="2:8" ht="34.5" customHeight="1">
      <c r="B37" s="595" t="s">
        <v>503</v>
      </c>
      <c r="C37" s="683">
        <f>SUM(C$25:C$36)</f>
        <v>436647094.20996875</v>
      </c>
      <c r="D37" s="683">
        <f t="shared" ref="D37:H37" si="10">SUM(D$25:D$36)</f>
        <v>762324.45999999985</v>
      </c>
      <c r="E37" s="683">
        <f t="shared" si="10"/>
        <v>35478474.259999968</v>
      </c>
      <c r="F37" s="683">
        <f t="shared" si="10"/>
        <v>1806035.5499999998</v>
      </c>
      <c r="G37" s="683">
        <f t="shared" si="10"/>
        <v>56011587.830000713</v>
      </c>
      <c r="H37" s="683">
        <f t="shared" si="10"/>
        <v>530705516.30996943</v>
      </c>
    </row>
  </sheetData>
  <mergeCells count="1">
    <mergeCell ref="B22:H23"/>
  </mergeCells>
  <phoneticPr fontId="105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9ED21-FA02-4677-8925-AC2B3779E93A}">
  <sheetPr codeName="Hoja4">
    <tabColor rgb="FFFFFF00"/>
  </sheetPr>
  <dimension ref="A2:O37"/>
  <sheetViews>
    <sheetView topLeftCell="L1" workbookViewId="0">
      <selection activeCell="N8" sqref="N8"/>
    </sheetView>
  </sheetViews>
  <sheetFormatPr baseColWidth="10" defaultRowHeight="15.75"/>
  <cols>
    <col min="2" max="2" width="25.25" style="4" bestFit="1" customWidth="1"/>
    <col min="3" max="3" width="24.375" style="4" bestFit="1" customWidth="1"/>
    <col min="4" max="4" width="24.5" style="4" bestFit="1" customWidth="1"/>
    <col min="5" max="5" width="20.875" style="4" bestFit="1" customWidth="1"/>
    <col min="6" max="6" width="30.625" style="4" bestFit="1" customWidth="1"/>
    <col min="7" max="7" width="20.25" style="4" bestFit="1" customWidth="1"/>
    <col min="8" max="8" width="25.5" style="4" bestFit="1" customWidth="1"/>
    <col min="9" max="9" width="24.625" style="4" bestFit="1" customWidth="1"/>
    <col min="10" max="10" width="24.75" style="4" bestFit="1" customWidth="1"/>
    <col min="11" max="11" width="21.25" style="4" bestFit="1" customWidth="1"/>
    <col min="12" max="12" width="30.125" style="4" bestFit="1" customWidth="1"/>
    <col min="13" max="13" width="20.5" style="4" bestFit="1" customWidth="1"/>
    <col min="14" max="14" width="14.625" bestFit="1" customWidth="1"/>
    <col min="15" max="15" width="14.5" customWidth="1"/>
  </cols>
  <sheetData>
    <row r="2" spans="1:15">
      <c r="A2" t="s">
        <v>15</v>
      </c>
      <c r="K2" s="4" t="e">
        <f>+#REF!+#REF!+#REF!+#REF!+#REF!+#REF!</f>
        <v>#REF!</v>
      </c>
    </row>
    <row r="3" spans="1:15">
      <c r="A3">
        <v>2024</v>
      </c>
    </row>
    <row r="4" spans="1:15">
      <c r="A4" t="s">
        <v>90</v>
      </c>
    </row>
    <row r="5" spans="1:15" ht="30" customHeight="1">
      <c r="B5" s="551" t="s">
        <v>91</v>
      </c>
      <c r="C5" s="551" t="s">
        <v>92</v>
      </c>
      <c r="D5" s="551" t="s">
        <v>93</v>
      </c>
      <c r="E5" s="551" t="s">
        <v>94</v>
      </c>
      <c r="F5" s="551" t="s">
        <v>95</v>
      </c>
      <c r="G5" s="551" t="s">
        <v>96</v>
      </c>
      <c r="H5" s="551" t="s">
        <v>97</v>
      </c>
      <c r="I5" s="551" t="s">
        <v>98</v>
      </c>
      <c r="J5" s="551" t="s">
        <v>22</v>
      </c>
      <c r="K5" s="551" t="s">
        <v>99</v>
      </c>
      <c r="L5" s="551" t="s">
        <v>100</v>
      </c>
      <c r="M5" s="551" t="s">
        <v>101</v>
      </c>
      <c r="N5" s="50" t="s">
        <v>102</v>
      </c>
      <c r="O5" s="674" t="s">
        <v>469</v>
      </c>
    </row>
    <row r="6" spans="1:15">
      <c r="A6" s="1">
        <v>45658</v>
      </c>
      <c r="N6" s="709">
        <f t="shared" ref="N6:N17" si="0">SUM(B6:M6)</f>
        <v>0</v>
      </c>
    </row>
    <row r="7" spans="1:15" s="529" customFormat="1">
      <c r="A7" s="1">
        <v>45689</v>
      </c>
      <c r="B7" s="4">
        <v>179655</v>
      </c>
      <c r="C7" s="4">
        <v>603</v>
      </c>
      <c r="D7" s="4">
        <v>19705</v>
      </c>
      <c r="E7" s="4">
        <v>1438</v>
      </c>
      <c r="F7" s="4">
        <v>30025</v>
      </c>
      <c r="G7" s="4">
        <v>1496</v>
      </c>
      <c r="H7" s="4">
        <v>166848</v>
      </c>
      <c r="I7" s="4">
        <v>518</v>
      </c>
      <c r="J7" s="4">
        <v>6860</v>
      </c>
      <c r="K7" s="4">
        <v>598</v>
      </c>
      <c r="L7" s="4">
        <v>13636</v>
      </c>
      <c r="M7" s="4">
        <v>2978</v>
      </c>
      <c r="N7" s="709">
        <f t="shared" si="0"/>
        <v>424360</v>
      </c>
      <c r="O7" s="831">
        <f>+SUM(B7,F7,H7,L7)</f>
        <v>390164</v>
      </c>
    </row>
    <row r="8" spans="1:15" s="4" customFormat="1">
      <c r="A8" s="1">
        <v>45717</v>
      </c>
      <c r="B8" s="4">
        <v>179716</v>
      </c>
      <c r="C8" s="4">
        <v>603</v>
      </c>
      <c r="D8" s="4">
        <v>19681</v>
      </c>
      <c r="E8" s="4">
        <v>1431</v>
      </c>
      <c r="F8" s="4">
        <v>30020</v>
      </c>
      <c r="G8" s="4">
        <v>1495</v>
      </c>
      <c r="H8" s="4">
        <v>166822</v>
      </c>
      <c r="I8" s="4">
        <v>518</v>
      </c>
      <c r="J8" s="4">
        <v>6856</v>
      </c>
      <c r="K8" s="4">
        <v>598</v>
      </c>
      <c r="L8" s="4">
        <v>13632</v>
      </c>
      <c r="M8" s="4">
        <v>2979</v>
      </c>
      <c r="N8" s="709">
        <f t="shared" si="0"/>
        <v>424351</v>
      </c>
      <c r="O8" s="831">
        <f>+SUM(B8,F8,H8,L8)</f>
        <v>390190</v>
      </c>
    </row>
    <row r="9" spans="1:15">
      <c r="A9" s="1">
        <v>45748</v>
      </c>
      <c r="B9" s="4">
        <v>178137</v>
      </c>
      <c r="C9" s="4">
        <v>594</v>
      </c>
      <c r="D9" s="4">
        <v>19592</v>
      </c>
      <c r="E9" s="4">
        <v>1428</v>
      </c>
      <c r="F9" s="4">
        <v>29322</v>
      </c>
      <c r="G9" s="4">
        <v>1502</v>
      </c>
      <c r="H9" s="4">
        <v>167876</v>
      </c>
      <c r="I9" s="4">
        <v>526</v>
      </c>
      <c r="J9" s="4">
        <v>6887</v>
      </c>
      <c r="K9" s="4">
        <v>600</v>
      </c>
      <c r="L9" s="4">
        <v>13650</v>
      </c>
      <c r="M9" s="4">
        <v>3085</v>
      </c>
      <c r="N9" s="709">
        <f t="shared" si="0"/>
        <v>423199</v>
      </c>
      <c r="O9" s="831">
        <f t="shared" ref="O9:O17" si="1">+SUM(B9,F9,H9,L9)</f>
        <v>388985</v>
      </c>
    </row>
    <row r="10" spans="1:15">
      <c r="A10" s="1">
        <v>45778</v>
      </c>
      <c r="B10" s="4">
        <v>180269</v>
      </c>
      <c r="C10" s="4">
        <v>603</v>
      </c>
      <c r="D10" s="4">
        <v>19727</v>
      </c>
      <c r="E10" s="4">
        <v>1428</v>
      </c>
      <c r="F10" s="4">
        <v>29898</v>
      </c>
      <c r="G10" s="4">
        <v>1529</v>
      </c>
      <c r="H10" s="4">
        <v>167640</v>
      </c>
      <c r="I10" s="4">
        <v>526</v>
      </c>
      <c r="J10" s="4">
        <v>6891</v>
      </c>
      <c r="K10" s="4">
        <v>602</v>
      </c>
      <c r="L10" s="4">
        <v>13655</v>
      </c>
      <c r="M10" s="4">
        <v>3094</v>
      </c>
      <c r="N10" s="709">
        <f t="shared" si="0"/>
        <v>425862</v>
      </c>
      <c r="O10" s="831">
        <f t="shared" si="1"/>
        <v>391462</v>
      </c>
    </row>
    <row r="11" spans="1:15">
      <c r="A11" s="1">
        <v>45809</v>
      </c>
      <c r="B11" s="4">
        <v>180266</v>
      </c>
      <c r="C11" s="4">
        <v>601</v>
      </c>
      <c r="D11" s="4">
        <v>19726</v>
      </c>
      <c r="E11" s="4">
        <v>1430</v>
      </c>
      <c r="F11" s="4">
        <v>29895</v>
      </c>
      <c r="G11" s="4">
        <v>1530</v>
      </c>
      <c r="H11" s="4">
        <v>167694</v>
      </c>
      <c r="I11" s="4">
        <v>529</v>
      </c>
      <c r="J11" s="4">
        <v>6893</v>
      </c>
      <c r="K11" s="4">
        <v>602</v>
      </c>
      <c r="L11" s="4">
        <v>13655</v>
      </c>
      <c r="M11" s="4">
        <v>3100</v>
      </c>
      <c r="N11" s="709">
        <f t="shared" si="0"/>
        <v>425921</v>
      </c>
      <c r="O11" s="831">
        <f t="shared" si="1"/>
        <v>391510</v>
      </c>
    </row>
    <row r="12" spans="1:15">
      <c r="A12" s="1">
        <v>45839</v>
      </c>
      <c r="N12" s="709"/>
      <c r="O12" s="831"/>
    </row>
    <row r="13" spans="1:15">
      <c r="A13" s="1">
        <v>45870</v>
      </c>
      <c r="N13" s="709">
        <f t="shared" si="0"/>
        <v>0</v>
      </c>
      <c r="O13" s="831">
        <f t="shared" si="1"/>
        <v>0</v>
      </c>
    </row>
    <row r="14" spans="1:15">
      <c r="A14" s="1">
        <v>45901</v>
      </c>
      <c r="I14" s="681"/>
      <c r="J14" s="680"/>
      <c r="N14" s="709">
        <f t="shared" si="0"/>
        <v>0</v>
      </c>
      <c r="O14" s="831">
        <f t="shared" si="1"/>
        <v>0</v>
      </c>
    </row>
    <row r="15" spans="1:15">
      <c r="A15" s="1">
        <v>45931</v>
      </c>
      <c r="N15" s="709">
        <f t="shared" si="0"/>
        <v>0</v>
      </c>
      <c r="O15" s="831">
        <f t="shared" si="1"/>
        <v>0</v>
      </c>
    </row>
    <row r="16" spans="1:15">
      <c r="A16" s="1">
        <v>45962</v>
      </c>
      <c r="N16" s="709">
        <f t="shared" si="0"/>
        <v>0</v>
      </c>
      <c r="O16" s="831">
        <f t="shared" si="1"/>
        <v>0</v>
      </c>
    </row>
    <row r="17" spans="1:15">
      <c r="A17" s="1">
        <v>45992</v>
      </c>
      <c r="N17" s="709">
        <f t="shared" si="0"/>
        <v>0</v>
      </c>
      <c r="O17" s="831">
        <f t="shared" si="1"/>
        <v>0</v>
      </c>
    </row>
    <row r="18" spans="1:15">
      <c r="A18" s="1"/>
    </row>
    <row r="19" spans="1:15">
      <c r="A19" s="1"/>
    </row>
    <row r="20" spans="1:15">
      <c r="A20" s="1"/>
    </row>
    <row r="21" spans="1:15">
      <c r="A21" s="1"/>
      <c r="M21" s="596"/>
    </row>
    <row r="22" spans="1:15">
      <c r="A22" s="1"/>
      <c r="B22" s="869"/>
      <c r="C22" s="869"/>
      <c r="D22" s="869"/>
      <c r="E22" s="869"/>
      <c r="F22" s="869"/>
      <c r="G22" s="869"/>
      <c r="H22" s="869"/>
    </row>
    <row r="23" spans="1:15">
      <c r="A23" s="1"/>
      <c r="B23" s="869"/>
      <c r="C23" s="869"/>
      <c r="D23" s="869"/>
      <c r="E23" s="869"/>
      <c r="F23" s="869"/>
      <c r="G23" s="869"/>
      <c r="H23" s="869"/>
    </row>
    <row r="24" spans="1:15">
      <c r="A24" s="1"/>
      <c r="B24" t="s">
        <v>511</v>
      </c>
      <c r="C24" t="s">
        <v>478</v>
      </c>
      <c r="D24" t="s">
        <v>479</v>
      </c>
      <c r="E24" t="s">
        <v>480</v>
      </c>
      <c r="F24" t="s">
        <v>482</v>
      </c>
      <c r="G24" t="s">
        <v>481</v>
      </c>
      <c r="H24" t="s">
        <v>504</v>
      </c>
    </row>
    <row r="25" spans="1:15">
      <c r="A25" s="1"/>
      <c r="B25" t="s">
        <v>483</v>
      </c>
      <c r="C25" s="121">
        <f>$B6+$H6</f>
        <v>0</v>
      </c>
      <c r="D25" s="121">
        <f>$C6+$I6</f>
        <v>0</v>
      </c>
      <c r="E25" s="121">
        <f>$D6+$J6</f>
        <v>0</v>
      </c>
      <c r="F25" s="121">
        <f>$E6+$K6</f>
        <v>0</v>
      </c>
      <c r="G25" s="121">
        <f>$F6+$L6</f>
        <v>0</v>
      </c>
      <c r="H25" s="121">
        <f>SUM(Tabla610[[#This Row],[Clientes Residencial ]:[mixto ]])</f>
        <v>0</v>
      </c>
    </row>
    <row r="26" spans="1:15">
      <c r="A26" s="1"/>
      <c r="B26" t="s">
        <v>484</v>
      </c>
      <c r="C26" s="121">
        <f>$B7+$H7</f>
        <v>346503</v>
      </c>
      <c r="D26" s="121">
        <f>$C7+$I7</f>
        <v>1121</v>
      </c>
      <c r="E26" s="121">
        <f>$D7+$J7</f>
        <v>26565</v>
      </c>
      <c r="F26" s="121">
        <f>$E7+$K7</f>
        <v>2036</v>
      </c>
      <c r="G26" s="121">
        <f>$F7+$L7</f>
        <v>43661</v>
      </c>
      <c r="H26" s="121">
        <f>SUM(Tabla610[[#This Row],[Clientes Residencial ]:[mixto ]])</f>
        <v>419886</v>
      </c>
    </row>
    <row r="27" spans="1:15">
      <c r="A27" s="1"/>
      <c r="B27" t="s">
        <v>485</v>
      </c>
      <c r="C27" s="121">
        <f t="shared" ref="C27:C36" si="2">$B8+$H8</f>
        <v>346538</v>
      </c>
      <c r="D27" s="121">
        <f t="shared" ref="D27:D36" si="3">$C8+$I8</f>
        <v>1121</v>
      </c>
      <c r="E27" s="121">
        <f t="shared" ref="E27:E37" si="4">$D8+$J8</f>
        <v>26537</v>
      </c>
      <c r="F27" s="121">
        <f t="shared" ref="F27:F36" si="5">$E8+$K8</f>
        <v>2029</v>
      </c>
      <c r="G27" s="121">
        <f t="shared" ref="G27:G36" si="6">$F8+$L8</f>
        <v>43652</v>
      </c>
      <c r="H27" s="121">
        <f>SUM(Tabla610[[#This Row],[Clientes Residencial ]:[mixto ]])</f>
        <v>419877</v>
      </c>
    </row>
    <row r="28" spans="1:15">
      <c r="A28" s="1"/>
      <c r="B28" t="s">
        <v>486</v>
      </c>
      <c r="C28" s="121">
        <f t="shared" si="2"/>
        <v>346013</v>
      </c>
      <c r="D28" s="121">
        <f t="shared" si="3"/>
        <v>1120</v>
      </c>
      <c r="E28" s="121">
        <f t="shared" si="4"/>
        <v>26479</v>
      </c>
      <c r="F28" s="121">
        <f t="shared" si="5"/>
        <v>2028</v>
      </c>
      <c r="G28" s="121">
        <f t="shared" si="6"/>
        <v>42972</v>
      </c>
      <c r="H28" s="121">
        <f>SUM(Tabla610[[#This Row],[Clientes Residencial ]:[mixto ]])</f>
        <v>418612</v>
      </c>
    </row>
    <row r="29" spans="1:15">
      <c r="A29" s="1"/>
      <c r="B29" t="s">
        <v>487</v>
      </c>
      <c r="C29" s="121">
        <f t="shared" si="2"/>
        <v>347909</v>
      </c>
      <c r="D29" s="121">
        <f t="shared" si="3"/>
        <v>1129</v>
      </c>
      <c r="E29" s="121">
        <f t="shared" si="4"/>
        <v>26618</v>
      </c>
      <c r="F29" s="121">
        <f t="shared" si="5"/>
        <v>2030</v>
      </c>
      <c r="G29" s="121">
        <f t="shared" si="6"/>
        <v>43553</v>
      </c>
      <c r="H29" s="121">
        <f>SUM(Tabla610[[#This Row],[Clientes Residencial ]:[mixto ]])</f>
        <v>421239</v>
      </c>
    </row>
    <row r="30" spans="1:15">
      <c r="B30" t="s">
        <v>488</v>
      </c>
      <c r="C30" s="121">
        <f>$B11+$H11</f>
        <v>347960</v>
      </c>
      <c r="D30" s="121">
        <f t="shared" si="3"/>
        <v>1130</v>
      </c>
      <c r="E30" s="121">
        <f t="shared" si="4"/>
        <v>26619</v>
      </c>
      <c r="F30" s="121">
        <f t="shared" si="5"/>
        <v>2032</v>
      </c>
      <c r="G30" s="121">
        <f t="shared" si="6"/>
        <v>43550</v>
      </c>
      <c r="H30" s="121">
        <f>SUM(Tabla610[[#This Row],[Clientes Residencial ]:[mixto ]])</f>
        <v>421291</v>
      </c>
    </row>
    <row r="31" spans="1:15">
      <c r="B31" t="s">
        <v>489</v>
      </c>
      <c r="C31" s="121">
        <f>$B12+$H12</f>
        <v>0</v>
      </c>
      <c r="D31" s="121">
        <f>$C12+$I12</f>
        <v>0</v>
      </c>
      <c r="E31" s="121">
        <f>$D12+$J12</f>
        <v>0</v>
      </c>
      <c r="F31" s="121">
        <f>$E12+$K12</f>
        <v>0</v>
      </c>
      <c r="G31" s="121">
        <f t="shared" si="6"/>
        <v>0</v>
      </c>
      <c r="H31" s="121">
        <f>SUM(Tabla610[[#This Row],[Clientes Residencial ]:[mixto ]])</f>
        <v>0</v>
      </c>
    </row>
    <row r="32" spans="1:15">
      <c r="B32" t="s">
        <v>490</v>
      </c>
      <c r="C32" s="121">
        <f>$B13+$H13</f>
        <v>0</v>
      </c>
      <c r="D32" s="121">
        <f t="shared" si="3"/>
        <v>0</v>
      </c>
      <c r="E32" s="121">
        <f t="shared" si="4"/>
        <v>0</v>
      </c>
      <c r="F32" s="121">
        <f t="shared" si="5"/>
        <v>0</v>
      </c>
      <c r="G32" s="121">
        <f t="shared" si="6"/>
        <v>0</v>
      </c>
      <c r="H32" s="121">
        <f>SUM(Tabla610[[#This Row],[Clientes Residencial ]:[mixto ]])</f>
        <v>0</v>
      </c>
    </row>
    <row r="33" spans="2:8">
      <c r="B33" t="s">
        <v>491</v>
      </c>
      <c r="C33" s="121">
        <f t="shared" si="2"/>
        <v>0</v>
      </c>
      <c r="D33" s="121">
        <f t="shared" si="3"/>
        <v>0</v>
      </c>
      <c r="E33" s="121">
        <f t="shared" si="4"/>
        <v>0</v>
      </c>
      <c r="F33" s="121">
        <f t="shared" si="5"/>
        <v>0</v>
      </c>
      <c r="G33" s="121">
        <f t="shared" si="6"/>
        <v>0</v>
      </c>
      <c r="H33" s="121">
        <f>SUM(Tabla610[[#This Row],[Clientes Residencial ]:[mixto ]])</f>
        <v>0</v>
      </c>
    </row>
    <row r="34" spans="2:8">
      <c r="B34" t="s">
        <v>492</v>
      </c>
      <c r="C34" s="121">
        <f t="shared" si="2"/>
        <v>0</v>
      </c>
      <c r="D34" s="121">
        <f t="shared" si="3"/>
        <v>0</v>
      </c>
      <c r="E34" s="121">
        <f t="shared" si="4"/>
        <v>0</v>
      </c>
      <c r="F34" s="121">
        <f t="shared" si="5"/>
        <v>0</v>
      </c>
      <c r="G34" s="121">
        <f t="shared" si="6"/>
        <v>0</v>
      </c>
      <c r="H34" s="121">
        <f>SUM(Tabla610[[#This Row],[Clientes Residencial ]:[mixto ]])</f>
        <v>0</v>
      </c>
    </row>
    <row r="35" spans="2:8">
      <c r="B35" t="s">
        <v>493</v>
      </c>
      <c r="C35" s="121">
        <f t="shared" si="2"/>
        <v>0</v>
      </c>
      <c r="D35" s="121">
        <f t="shared" si="3"/>
        <v>0</v>
      </c>
      <c r="E35" s="121">
        <f t="shared" si="4"/>
        <v>0</v>
      </c>
      <c r="F35" s="121">
        <f t="shared" si="5"/>
        <v>0</v>
      </c>
      <c r="G35" s="121">
        <f>$F16+$L16</f>
        <v>0</v>
      </c>
      <c r="H35" s="121">
        <f>SUM(Tabla610[[#This Row],[Clientes Residencial ]:[mixto ]])</f>
        <v>0</v>
      </c>
    </row>
    <row r="36" spans="2:8">
      <c r="B36" t="s">
        <v>494</v>
      </c>
      <c r="C36" s="121">
        <f t="shared" si="2"/>
        <v>0</v>
      </c>
      <c r="D36" s="121">
        <f t="shared" si="3"/>
        <v>0</v>
      </c>
      <c r="E36" s="121">
        <f t="shared" si="4"/>
        <v>0</v>
      </c>
      <c r="F36" s="121">
        <f t="shared" si="5"/>
        <v>0</v>
      </c>
      <c r="G36" s="121">
        <f t="shared" si="6"/>
        <v>0</v>
      </c>
      <c r="H36" s="121">
        <f>SUM(Tabla610[[#This Row],[Clientes Residencial ]:[mixto ]])</f>
        <v>0</v>
      </c>
    </row>
    <row r="37" spans="2:8">
      <c r="B37" s="595"/>
      <c r="C37" s="121"/>
      <c r="D37" s="121"/>
      <c r="E37" s="121">
        <f t="shared" si="4"/>
        <v>0</v>
      </c>
      <c r="F37" s="121"/>
      <c r="G37" s="121"/>
      <c r="H37" s="121"/>
    </row>
  </sheetData>
  <mergeCells count="1">
    <mergeCell ref="B22:H23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E31FF-A610-42AB-82C7-D197428B30D5}">
  <sheetPr codeName="Hoja5">
    <tabColor rgb="FFFFFF00"/>
  </sheetPr>
  <dimension ref="A1:N29"/>
  <sheetViews>
    <sheetView topLeftCell="K2" workbookViewId="0">
      <selection activeCell="B11" sqref="B11:M11"/>
    </sheetView>
  </sheetViews>
  <sheetFormatPr baseColWidth="10" defaultRowHeight="15.75"/>
  <cols>
    <col min="2" max="2" width="25.25" bestFit="1" customWidth="1"/>
    <col min="3" max="3" width="24.375" bestFit="1" customWidth="1"/>
    <col min="4" max="4" width="24.5" bestFit="1" customWidth="1"/>
    <col min="5" max="5" width="20.875" bestFit="1" customWidth="1"/>
    <col min="6" max="6" width="30.625" bestFit="1" customWidth="1"/>
    <col min="7" max="7" width="26.75" bestFit="1" customWidth="1"/>
    <col min="8" max="8" width="25.5" bestFit="1" customWidth="1"/>
    <col min="9" max="9" width="24.625" bestFit="1" customWidth="1"/>
    <col min="10" max="10" width="24.75" bestFit="1" customWidth="1"/>
    <col min="11" max="11" width="21.25" bestFit="1" customWidth="1"/>
    <col min="12" max="12" width="15.5" customWidth="1"/>
    <col min="13" max="13" width="20.5" bestFit="1" customWidth="1"/>
    <col min="14" max="14" width="16.5" customWidth="1"/>
  </cols>
  <sheetData>
    <row r="1" spans="1:14">
      <c r="D1" t="s">
        <v>15</v>
      </c>
    </row>
    <row r="2" spans="1:14">
      <c r="D2">
        <v>2024</v>
      </c>
      <c r="F2" s="470"/>
    </row>
    <row r="3" spans="1:14">
      <c r="D3" t="s">
        <v>107</v>
      </c>
      <c r="F3" s="529"/>
    </row>
    <row r="5" spans="1:14" ht="48" customHeight="1">
      <c r="B5" s="3" t="s">
        <v>103</v>
      </c>
      <c r="C5" s="3" t="s">
        <v>104</v>
      </c>
      <c r="D5" s="3" t="s">
        <v>17</v>
      </c>
      <c r="E5" s="3" t="s">
        <v>18</v>
      </c>
      <c r="F5" s="3" t="s">
        <v>105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437</v>
      </c>
      <c r="M5" s="3" t="s">
        <v>24</v>
      </c>
      <c r="N5" s="3" t="s">
        <v>25</v>
      </c>
    </row>
    <row r="6" spans="1:14">
      <c r="A6" s="1">
        <v>45658</v>
      </c>
    </row>
    <row r="7" spans="1:14">
      <c r="A7" s="1">
        <v>45689</v>
      </c>
      <c r="B7" s="682">
        <v>138932</v>
      </c>
      <c r="C7" s="682">
        <v>354</v>
      </c>
      <c r="D7" s="682">
        <v>10444</v>
      </c>
      <c r="E7" s="682">
        <v>154</v>
      </c>
      <c r="F7" s="682">
        <v>23011</v>
      </c>
      <c r="G7" s="682">
        <v>937</v>
      </c>
      <c r="H7" s="682">
        <v>166566</v>
      </c>
      <c r="I7" s="682">
        <v>231</v>
      </c>
      <c r="J7" s="682">
        <v>6198</v>
      </c>
      <c r="K7" s="682">
        <v>34</v>
      </c>
      <c r="L7" s="682">
        <v>13597</v>
      </c>
      <c r="M7" s="682">
        <v>2935</v>
      </c>
      <c r="N7" s="682">
        <f>SUM(B7:M7)</f>
        <v>363393</v>
      </c>
    </row>
    <row r="8" spans="1:14">
      <c r="A8" s="1">
        <v>45717</v>
      </c>
      <c r="B8" s="682">
        <v>176078</v>
      </c>
      <c r="C8" s="682">
        <v>581</v>
      </c>
      <c r="D8" s="682">
        <v>19409</v>
      </c>
      <c r="E8" s="682">
        <v>1419</v>
      </c>
      <c r="F8" s="682">
        <v>29284</v>
      </c>
      <c r="G8" s="682">
        <v>1437</v>
      </c>
      <c r="H8" s="682">
        <v>128418</v>
      </c>
      <c r="I8" s="682">
        <v>459</v>
      </c>
      <c r="J8" s="682">
        <v>5776</v>
      </c>
      <c r="K8" s="682">
        <v>581</v>
      </c>
      <c r="L8" s="682">
        <v>11317</v>
      </c>
      <c r="M8" s="682">
        <v>2176</v>
      </c>
      <c r="N8" s="682">
        <f t="shared" ref="N8:N11" si="0">SUM(B8:M8)</f>
        <v>376935</v>
      </c>
    </row>
    <row r="9" spans="1:14">
      <c r="A9" s="1">
        <v>45748</v>
      </c>
      <c r="B9" s="682">
        <v>124657</v>
      </c>
      <c r="C9" s="682">
        <v>343</v>
      </c>
      <c r="D9" s="682">
        <v>15195</v>
      </c>
      <c r="E9" s="682">
        <v>857</v>
      </c>
      <c r="F9" s="682">
        <v>22396</v>
      </c>
      <c r="G9" s="682">
        <v>1005</v>
      </c>
      <c r="H9" s="682">
        <v>43597</v>
      </c>
      <c r="I9" s="682">
        <v>55</v>
      </c>
      <c r="J9" s="682">
        <v>1337</v>
      </c>
      <c r="K9" s="682">
        <v>128</v>
      </c>
      <c r="L9" s="682">
        <v>2068</v>
      </c>
      <c r="M9" s="682">
        <v>306</v>
      </c>
      <c r="N9" s="682">
        <f t="shared" si="0"/>
        <v>211944</v>
      </c>
    </row>
    <row r="10" spans="1:14">
      <c r="A10" s="1">
        <v>45778</v>
      </c>
      <c r="B10" s="682">
        <v>126118</v>
      </c>
      <c r="C10" s="682">
        <v>349</v>
      </c>
      <c r="D10" s="682">
        <v>15305</v>
      </c>
      <c r="E10" s="682">
        <v>857</v>
      </c>
      <c r="F10" s="682">
        <v>22808</v>
      </c>
      <c r="G10" s="682">
        <v>1008</v>
      </c>
      <c r="H10" s="682">
        <v>43568</v>
      </c>
      <c r="I10" s="682">
        <v>56</v>
      </c>
      <c r="J10" s="682">
        <v>1343</v>
      </c>
      <c r="K10" s="682">
        <v>130</v>
      </c>
      <c r="L10" s="682">
        <v>2068</v>
      </c>
      <c r="M10" s="682">
        <v>306</v>
      </c>
      <c r="N10" s="682">
        <f t="shared" si="0"/>
        <v>213916</v>
      </c>
    </row>
    <row r="11" spans="1:14">
      <c r="A11" s="1">
        <v>45809</v>
      </c>
      <c r="B11" s="682">
        <v>126104</v>
      </c>
      <c r="C11" s="682">
        <v>349</v>
      </c>
      <c r="D11" s="682">
        <v>15306</v>
      </c>
      <c r="E11" s="682">
        <v>858</v>
      </c>
      <c r="F11" s="682">
        <v>22797</v>
      </c>
      <c r="G11" s="682">
        <v>1006</v>
      </c>
      <c r="H11" s="682">
        <v>42265</v>
      </c>
      <c r="I11" s="682">
        <v>55</v>
      </c>
      <c r="J11" s="682">
        <v>1354</v>
      </c>
      <c r="K11" s="682">
        <v>129</v>
      </c>
      <c r="L11" s="682">
        <v>2071</v>
      </c>
      <c r="M11" s="682">
        <v>306</v>
      </c>
      <c r="N11" s="682">
        <f t="shared" si="0"/>
        <v>212600</v>
      </c>
    </row>
    <row r="12" spans="1:14">
      <c r="A12" s="1">
        <v>45839</v>
      </c>
      <c r="B12" s="682"/>
      <c r="C12" s="682"/>
      <c r="D12" s="682"/>
      <c r="E12" s="682"/>
      <c r="F12" s="682"/>
      <c r="G12" s="682"/>
      <c r="H12" s="655"/>
      <c r="I12" s="655"/>
      <c r="J12" s="655"/>
      <c r="K12" s="655"/>
      <c r="L12" s="655"/>
      <c r="M12" s="655"/>
      <c r="N12" s="654"/>
    </row>
    <row r="13" spans="1:14">
      <c r="A13" s="1">
        <v>45870</v>
      </c>
      <c r="B13" s="654"/>
      <c r="C13" s="720"/>
      <c r="D13" s="721"/>
      <c r="E13" s="720"/>
      <c r="F13" s="721"/>
      <c r="G13" s="682"/>
      <c r="H13" s="655"/>
      <c r="I13" s="655"/>
      <c r="J13" s="655"/>
      <c r="K13" s="655"/>
      <c r="L13" s="655"/>
      <c r="M13" s="655"/>
      <c r="N13" s="654">
        <f t="shared" ref="N13:N17" si="1">SUM(B13:M13)</f>
        <v>0</v>
      </c>
    </row>
    <row r="14" spans="1:14">
      <c r="A14" s="1">
        <v>45901</v>
      </c>
      <c r="B14" s="654"/>
      <c r="C14" s="720"/>
      <c r="D14" s="721"/>
      <c r="E14" s="720"/>
      <c r="F14" s="721"/>
      <c r="G14" s="682"/>
      <c r="H14" s="655"/>
      <c r="I14" s="655"/>
      <c r="J14" s="655"/>
      <c r="K14" s="655"/>
      <c r="L14" s="655"/>
      <c r="M14" s="655"/>
      <c r="N14" s="654">
        <f t="shared" si="1"/>
        <v>0</v>
      </c>
    </row>
    <row r="15" spans="1:14">
      <c r="A15" s="1">
        <v>45931</v>
      </c>
      <c r="B15" s="654"/>
      <c r="C15" s="720"/>
      <c r="D15" s="721"/>
      <c r="E15" s="720"/>
      <c r="F15" s="721"/>
      <c r="G15" s="682"/>
      <c r="H15" s="655"/>
      <c r="I15" s="655"/>
      <c r="J15" s="655"/>
      <c r="K15" s="655"/>
      <c r="L15" s="655"/>
      <c r="M15" s="655"/>
      <c r="N15" s="654">
        <f t="shared" si="1"/>
        <v>0</v>
      </c>
    </row>
    <row r="16" spans="1:14">
      <c r="A16" s="1">
        <v>45962</v>
      </c>
      <c r="B16" s="654"/>
      <c r="C16" s="720"/>
      <c r="D16" s="721"/>
      <c r="E16" s="720"/>
      <c r="F16" s="721"/>
      <c r="G16" s="682"/>
      <c r="H16" s="655"/>
      <c r="I16" s="655"/>
      <c r="J16" s="655"/>
      <c r="K16" s="655"/>
      <c r="L16" s="655"/>
      <c r="M16" s="655"/>
      <c r="N16" s="654">
        <f t="shared" si="1"/>
        <v>0</v>
      </c>
    </row>
    <row r="17" spans="1:14">
      <c r="A17" s="1">
        <v>45992</v>
      </c>
      <c r="B17" s="654"/>
      <c r="C17" s="720"/>
      <c r="D17" s="721"/>
      <c r="E17" s="720"/>
      <c r="F17" s="721"/>
      <c r="G17" s="682"/>
      <c r="H17" s="655"/>
      <c r="I17" s="655"/>
      <c r="J17" s="655"/>
      <c r="K17" s="655"/>
      <c r="L17" s="655"/>
      <c r="M17" s="655"/>
      <c r="N17" s="654">
        <f t="shared" si="1"/>
        <v>0</v>
      </c>
    </row>
    <row r="18" spans="1:14">
      <c r="A18" s="1"/>
    </row>
    <row r="19" spans="1:14">
      <c r="A19" s="1"/>
    </row>
    <row r="20" spans="1:14">
      <c r="A20" s="1"/>
    </row>
    <row r="21" spans="1:14">
      <c r="A21" s="1"/>
    </row>
    <row r="22" spans="1:14">
      <c r="A22" s="1"/>
    </row>
    <row r="23" spans="1:14">
      <c r="A23" s="1"/>
    </row>
    <row r="24" spans="1:14">
      <c r="A24" s="1"/>
    </row>
    <row r="25" spans="1:14">
      <c r="A25" s="1"/>
    </row>
    <row r="26" spans="1:14">
      <c r="A26" s="1"/>
    </row>
    <row r="27" spans="1:14">
      <c r="A27" s="1"/>
    </row>
    <row r="28" spans="1:14">
      <c r="A28" s="1"/>
    </row>
    <row r="29" spans="1:14">
      <c r="A29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4E5DD-CEA0-48D2-B2F2-3BF55EF1D4B5}">
  <sheetPr codeName="Hoja6">
    <tabColor rgb="FF92D050"/>
  </sheetPr>
  <dimension ref="A2:F748"/>
  <sheetViews>
    <sheetView topLeftCell="A30" zoomScaleNormal="100" workbookViewId="0">
      <selection activeCell="E44" sqref="E44"/>
    </sheetView>
  </sheetViews>
  <sheetFormatPr baseColWidth="10" defaultRowHeight="15.75"/>
  <cols>
    <col min="2" max="2" width="11.375" customWidth="1"/>
    <col min="3" max="3" width="20.75" customWidth="1"/>
    <col min="4" max="4" width="20.375" customWidth="1"/>
    <col min="5" max="5" width="14.875" customWidth="1"/>
    <col min="7" max="7" width="13.625" customWidth="1"/>
    <col min="8" max="8" width="20" bestFit="1" customWidth="1"/>
    <col min="9" max="9" width="27.375" bestFit="1" customWidth="1"/>
  </cols>
  <sheetData>
    <row r="2" spans="1:5" ht="26.25">
      <c r="B2" s="870">
        <v>2025</v>
      </c>
      <c r="C2" s="870"/>
      <c r="D2" s="870"/>
      <c r="E2" s="870"/>
    </row>
    <row r="4" spans="1:5" ht="16.5" thickBot="1">
      <c r="C4" t="s">
        <v>113</v>
      </c>
      <c r="D4" s="509" t="s">
        <v>114</v>
      </c>
      <c r="E4" t="s">
        <v>108</v>
      </c>
    </row>
    <row r="5" spans="1:5" ht="16.5" thickBot="1">
      <c r="B5" s="473" t="s">
        <v>109</v>
      </c>
      <c r="C5" s="508"/>
      <c r="D5" s="543"/>
      <c r="E5" s="504">
        <v>45658</v>
      </c>
    </row>
    <row r="6" spans="1:5" ht="16.5" thickBot="1">
      <c r="B6" s="474" t="s">
        <v>110</v>
      </c>
      <c r="C6" s="508"/>
      <c r="D6" s="546"/>
      <c r="E6" s="530"/>
    </row>
    <row r="7" spans="1:5" ht="16.5" thickBot="1">
      <c r="B7" s="474" t="s">
        <v>111</v>
      </c>
      <c r="C7" s="508"/>
      <c r="D7" s="545"/>
      <c r="E7" s="530"/>
    </row>
    <row r="8" spans="1:5" ht="16.5" thickBot="1">
      <c r="B8" s="475" t="s">
        <v>112</v>
      </c>
      <c r="C8" s="508"/>
      <c r="D8" s="544"/>
      <c r="E8" s="530"/>
    </row>
    <row r="9" spans="1:5">
      <c r="C9" s="588">
        <f>SUM(C5:C8)</f>
        <v>0</v>
      </c>
      <c r="D9" s="508">
        <f>SUM(D5:D8)</f>
        <v>0</v>
      </c>
    </row>
    <row r="10" spans="1:5" ht="16.5" thickBot="1">
      <c r="C10" t="s">
        <v>113</v>
      </c>
      <c r="D10" s="509" t="s">
        <v>114</v>
      </c>
      <c r="E10" t="s">
        <v>108</v>
      </c>
    </row>
    <row r="11" spans="1:5" ht="16.5" thickBot="1">
      <c r="B11" s="473" t="s">
        <v>109</v>
      </c>
      <c r="C11" s="533">
        <v>105505</v>
      </c>
      <c r="D11" s="543">
        <v>48466</v>
      </c>
      <c r="E11" s="504">
        <v>45689</v>
      </c>
    </row>
    <row r="12" spans="1:5" ht="16.5" thickBot="1">
      <c r="B12" s="474" t="s">
        <v>110</v>
      </c>
      <c r="C12" s="533">
        <v>127417</v>
      </c>
      <c r="D12" s="543">
        <v>125366</v>
      </c>
      <c r="E12" s="504"/>
    </row>
    <row r="13" spans="1:5" ht="16.5" thickBot="1">
      <c r="B13" s="474" t="s">
        <v>111</v>
      </c>
      <c r="C13" s="533">
        <v>141528</v>
      </c>
      <c r="D13" s="543">
        <v>140264</v>
      </c>
      <c r="E13" s="504"/>
    </row>
    <row r="14" spans="1:5" ht="16.5" thickBot="1">
      <c r="B14" s="475" t="s">
        <v>112</v>
      </c>
      <c r="C14" s="534">
        <v>49910</v>
      </c>
      <c r="D14" s="543">
        <v>49297</v>
      </c>
      <c r="E14" s="504"/>
    </row>
    <row r="15" spans="1:5">
      <c r="C15" s="589">
        <f>SUM(C11:C14)</f>
        <v>424360</v>
      </c>
      <c r="D15" s="509">
        <f>SUM(D11:D14)</f>
        <v>363393</v>
      </c>
    </row>
    <row r="16" spans="1:5" ht="16.5" thickBot="1">
      <c r="A16" s="5"/>
      <c r="C16" t="s">
        <v>113</v>
      </c>
      <c r="D16" s="509" t="s">
        <v>114</v>
      </c>
      <c r="E16" t="s">
        <v>108</v>
      </c>
    </row>
    <row r="17" spans="1:5" ht="16.5" thickBot="1">
      <c r="A17" s="5"/>
      <c r="B17" s="473" t="s">
        <v>109</v>
      </c>
      <c r="C17" s="533">
        <v>105474</v>
      </c>
      <c r="D17" s="543">
        <v>103953</v>
      </c>
      <c r="E17" s="504">
        <v>45717</v>
      </c>
    </row>
    <row r="18" spans="1:5" ht="16.5" thickBot="1">
      <c r="B18" s="474" t="s">
        <v>110</v>
      </c>
      <c r="C18" s="533">
        <v>127472</v>
      </c>
      <c r="D18" s="543">
        <v>124255</v>
      </c>
      <c r="E18" s="504"/>
    </row>
    <row r="19" spans="1:5" ht="16.5" thickBot="1">
      <c r="B19" s="474" t="s">
        <v>111</v>
      </c>
      <c r="C19" s="533">
        <v>141529</v>
      </c>
      <c r="D19" s="543">
        <v>134526</v>
      </c>
      <c r="E19" s="504"/>
    </row>
    <row r="20" spans="1:5" ht="16.5" thickBot="1">
      <c r="B20" s="475" t="s">
        <v>112</v>
      </c>
      <c r="C20" s="534">
        <v>49876</v>
      </c>
      <c r="D20" s="543">
        <v>14201</v>
      </c>
      <c r="E20" s="504"/>
    </row>
    <row r="21" spans="1:5">
      <c r="C21" s="589">
        <f>SUM(C17:C20)</f>
        <v>424351</v>
      </c>
      <c r="D21" s="509">
        <f>SUM(D17:D20)</f>
        <v>376935</v>
      </c>
    </row>
    <row r="22" spans="1:5">
      <c r="E22" t="s">
        <v>106</v>
      </c>
    </row>
    <row r="23" spans="1:5" ht="32.25" thickBot="1">
      <c r="C23" t="s">
        <v>113</v>
      </c>
      <c r="D23" s="634" t="s">
        <v>114</v>
      </c>
      <c r="E23" t="s">
        <v>108</v>
      </c>
    </row>
    <row r="24" spans="1:5" ht="16.5" thickBot="1">
      <c r="B24" s="473" t="s">
        <v>109</v>
      </c>
      <c r="C24" s="533">
        <v>102797</v>
      </c>
      <c r="D24" s="543">
        <v>73997</v>
      </c>
      <c r="E24" s="504">
        <v>45748</v>
      </c>
    </row>
    <row r="25" spans="1:5" ht="16.5" thickBot="1">
      <c r="B25" s="474" t="s">
        <v>110</v>
      </c>
      <c r="C25" s="533">
        <v>127778</v>
      </c>
      <c r="D25" s="543">
        <v>90456</v>
      </c>
      <c r="E25" s="504"/>
    </row>
    <row r="26" spans="1:5" ht="16.5" thickBot="1">
      <c r="B26" s="474" t="s">
        <v>111</v>
      </c>
      <c r="C26" s="533">
        <v>142153</v>
      </c>
      <c r="D26" s="545">
        <v>36678</v>
      </c>
      <c r="E26" s="504"/>
    </row>
    <row r="27" spans="1:5" ht="16.5" thickBot="1">
      <c r="B27" s="475" t="s">
        <v>112</v>
      </c>
      <c r="C27" s="534">
        <v>50471</v>
      </c>
      <c r="D27" s="544">
        <v>10813</v>
      </c>
      <c r="E27" s="504"/>
    </row>
    <row r="28" spans="1:5">
      <c r="C28" s="589">
        <f>SUM(C24:C27)</f>
        <v>423199</v>
      </c>
      <c r="D28" s="509">
        <f>SUM(D24:D27)</f>
        <v>211944</v>
      </c>
    </row>
    <row r="30" spans="1:5" ht="32.25" thickBot="1">
      <c r="C30" t="s">
        <v>113</v>
      </c>
      <c r="D30" s="634" t="s">
        <v>114</v>
      </c>
      <c r="E30" t="s">
        <v>108</v>
      </c>
    </row>
    <row r="31" spans="1:5" ht="16.5" thickBot="1">
      <c r="B31" s="473" t="s">
        <v>109</v>
      </c>
      <c r="C31" s="533">
        <v>105669</v>
      </c>
      <c r="D31" s="543">
        <v>75991</v>
      </c>
      <c r="E31" s="504">
        <v>45413</v>
      </c>
    </row>
    <row r="32" spans="1:5" ht="16.5" thickBot="1">
      <c r="B32" s="474" t="s">
        <v>110</v>
      </c>
      <c r="C32" s="533">
        <v>127785</v>
      </c>
      <c r="D32" s="543">
        <v>90454</v>
      </c>
      <c r="E32" s="504"/>
    </row>
    <row r="33" spans="1:5" ht="16.5" thickBot="1">
      <c r="B33" s="474" t="s">
        <v>111</v>
      </c>
      <c r="C33" s="533">
        <v>142371</v>
      </c>
      <c r="D33" s="545">
        <v>36674</v>
      </c>
      <c r="E33" s="504"/>
    </row>
    <row r="34" spans="1:5" ht="16.5" thickBot="1">
      <c r="B34" s="475" t="s">
        <v>112</v>
      </c>
      <c r="C34" s="534">
        <v>50037</v>
      </c>
      <c r="D34" s="544">
        <v>10797</v>
      </c>
      <c r="E34" s="504"/>
    </row>
    <row r="35" spans="1:5">
      <c r="C35" s="589">
        <f>SUM(C31:C34)</f>
        <v>425862</v>
      </c>
      <c r="D35" s="509">
        <f>SUM(D31:D34)</f>
        <v>213916</v>
      </c>
    </row>
    <row r="37" spans="1:5" ht="32.25" thickBot="1">
      <c r="C37" t="s">
        <v>113</v>
      </c>
      <c r="D37" s="634" t="s">
        <v>114</v>
      </c>
      <c r="E37" t="s">
        <v>108</v>
      </c>
    </row>
    <row r="38" spans="1:5" ht="16.5" thickBot="1">
      <c r="B38" s="473" t="s">
        <v>109</v>
      </c>
      <c r="C38" s="533">
        <v>105651</v>
      </c>
      <c r="D38" s="706">
        <v>75978</v>
      </c>
      <c r="E38" s="504">
        <v>45444</v>
      </c>
    </row>
    <row r="39" spans="1:5" ht="16.5" thickBot="1">
      <c r="B39" s="474" t="s">
        <v>110</v>
      </c>
      <c r="C39" s="533">
        <v>127797</v>
      </c>
      <c r="D39" s="543">
        <v>90442</v>
      </c>
      <c r="E39" s="504"/>
    </row>
    <row r="40" spans="1:5" ht="16.5" thickBot="1">
      <c r="B40" s="474" t="s">
        <v>111</v>
      </c>
      <c r="C40" s="533">
        <v>142434</v>
      </c>
      <c r="D40" s="545">
        <v>35406</v>
      </c>
      <c r="E40" s="504"/>
    </row>
    <row r="41" spans="1:5" ht="16.5" thickBot="1">
      <c r="A41" s="4"/>
      <c r="B41" s="475" t="s">
        <v>112</v>
      </c>
      <c r="C41" s="534">
        <v>50039</v>
      </c>
      <c r="D41" s="544">
        <v>10774</v>
      </c>
      <c r="E41" s="504"/>
    </row>
    <row r="42" spans="1:5">
      <c r="C42" s="589">
        <f>SUM(C38:C41)</f>
        <v>425921</v>
      </c>
      <c r="D42" s="509">
        <f>SUM(D38:D41)</f>
        <v>212600</v>
      </c>
    </row>
    <row r="44" spans="1:5" ht="32.25" thickBot="1">
      <c r="C44" t="s">
        <v>113</v>
      </c>
      <c r="D44" s="634" t="s">
        <v>114</v>
      </c>
      <c r="E44" t="s">
        <v>108</v>
      </c>
    </row>
    <row r="45" spans="1:5" ht="16.5" thickBot="1">
      <c r="B45" s="473" t="s">
        <v>109</v>
      </c>
      <c r="C45" s="533"/>
      <c r="D45" s="706"/>
      <c r="E45" s="504">
        <v>45474</v>
      </c>
    </row>
    <row r="46" spans="1:5" ht="16.5" thickBot="1">
      <c r="B46" s="474" t="s">
        <v>110</v>
      </c>
      <c r="C46" s="533"/>
      <c r="D46" s="543"/>
      <c r="E46" s="504"/>
    </row>
    <row r="47" spans="1:5" ht="16.5" thickBot="1">
      <c r="B47" s="474" t="s">
        <v>111</v>
      </c>
      <c r="C47" s="533"/>
      <c r="D47" s="545"/>
      <c r="E47" s="504"/>
    </row>
    <row r="48" spans="1:5" ht="16.5" thickBot="1">
      <c r="B48" s="475" t="s">
        <v>112</v>
      </c>
      <c r="C48" s="534"/>
      <c r="D48" s="544"/>
      <c r="E48" s="504"/>
    </row>
    <row r="49" spans="2:6">
      <c r="C49" s="589">
        <f>SUM(C45:C48)</f>
        <v>0</v>
      </c>
      <c r="D49" s="509">
        <f>SUM(D45:D48)</f>
        <v>0</v>
      </c>
    </row>
    <row r="51" spans="2:6" ht="32.25" thickBot="1">
      <c r="C51" t="s">
        <v>113</v>
      </c>
      <c r="D51" s="634" t="s">
        <v>114</v>
      </c>
      <c r="E51" t="s">
        <v>108</v>
      </c>
    </row>
    <row r="52" spans="2:6" ht="16.5" thickBot="1">
      <c r="B52" s="473" t="s">
        <v>109</v>
      </c>
      <c r="C52" s="533"/>
      <c r="D52" s="706"/>
      <c r="E52" s="504">
        <v>45505</v>
      </c>
    </row>
    <row r="53" spans="2:6" ht="16.5" thickBot="1">
      <c r="B53" s="474" t="s">
        <v>110</v>
      </c>
      <c r="C53" s="533"/>
      <c r="D53" s="543"/>
      <c r="E53" s="504"/>
    </row>
    <row r="54" spans="2:6" ht="16.5" thickBot="1">
      <c r="B54" s="474" t="s">
        <v>111</v>
      </c>
      <c r="C54" s="533"/>
      <c r="D54" s="545"/>
      <c r="E54" s="504"/>
    </row>
    <row r="55" spans="2:6" ht="16.5" thickBot="1">
      <c r="B55" s="475" t="s">
        <v>112</v>
      </c>
      <c r="C55" s="534"/>
      <c r="D55" s="544"/>
      <c r="E55" s="504"/>
    </row>
    <row r="56" spans="2:6">
      <c r="C56" s="589">
        <f>SUM(C52:C55)</f>
        <v>0</v>
      </c>
      <c r="D56" s="509">
        <f>SUM(D52:D55)</f>
        <v>0</v>
      </c>
    </row>
    <row r="58" spans="2:6" ht="32.25" thickBot="1">
      <c r="C58" t="s">
        <v>113</v>
      </c>
      <c r="D58" s="634" t="s">
        <v>114</v>
      </c>
      <c r="E58" t="s">
        <v>108</v>
      </c>
    </row>
    <row r="59" spans="2:6" ht="16.5" thickBot="1">
      <c r="B59" s="473" t="s">
        <v>109</v>
      </c>
      <c r="C59" s="533"/>
      <c r="D59" s="706"/>
      <c r="E59" s="504">
        <v>45536</v>
      </c>
    </row>
    <row r="60" spans="2:6" ht="16.5" thickBot="1">
      <c r="B60" s="474" t="s">
        <v>110</v>
      </c>
      <c r="C60" s="533"/>
      <c r="D60" s="543"/>
      <c r="E60" s="504"/>
      <c r="F60" s="509"/>
    </row>
    <row r="61" spans="2:6" ht="16.5" thickBot="1">
      <c r="B61" s="474" t="s">
        <v>111</v>
      </c>
      <c r="C61" s="533"/>
      <c r="D61" s="545"/>
      <c r="E61" s="504"/>
    </row>
    <row r="62" spans="2:6" ht="16.5" thickBot="1">
      <c r="B62" s="475" t="s">
        <v>112</v>
      </c>
      <c r="C62" s="534"/>
      <c r="D62" s="544"/>
      <c r="E62" s="504"/>
    </row>
    <row r="63" spans="2:6">
      <c r="C63" s="589">
        <f>SUM(C59:C62)</f>
        <v>0</v>
      </c>
      <c r="D63" s="509">
        <f>SUM(D59:D62)</f>
        <v>0</v>
      </c>
    </row>
    <row r="65" spans="2:5" ht="32.25" thickBot="1">
      <c r="C65" t="s">
        <v>113</v>
      </c>
      <c r="D65" s="634" t="s">
        <v>114</v>
      </c>
      <c r="E65" t="s">
        <v>108</v>
      </c>
    </row>
    <row r="66" spans="2:5" ht="16.5" thickBot="1">
      <c r="B66" s="473" t="s">
        <v>109</v>
      </c>
      <c r="C66" s="533"/>
      <c r="D66" s="706"/>
      <c r="E66" s="504">
        <v>45566</v>
      </c>
    </row>
    <row r="67" spans="2:5" ht="16.5" thickBot="1">
      <c r="B67" s="474" t="s">
        <v>110</v>
      </c>
      <c r="C67" s="533"/>
      <c r="D67" s="543"/>
      <c r="E67" s="504"/>
    </row>
    <row r="68" spans="2:5" ht="16.5" thickBot="1">
      <c r="B68" s="474" t="s">
        <v>111</v>
      </c>
      <c r="C68" s="533"/>
      <c r="D68" s="545"/>
      <c r="E68" s="504"/>
    </row>
    <row r="69" spans="2:5" ht="16.5" thickBot="1">
      <c r="B69" s="475" t="s">
        <v>112</v>
      </c>
      <c r="C69" s="534"/>
      <c r="D69" s="544"/>
      <c r="E69" s="504"/>
    </row>
    <row r="70" spans="2:5">
      <c r="C70" s="589">
        <f>SUM(C66:C69)</f>
        <v>0</v>
      </c>
      <c r="D70" s="509">
        <f>SUM(D66:D69)</f>
        <v>0</v>
      </c>
    </row>
    <row r="72" spans="2:5" ht="32.25" thickBot="1">
      <c r="C72" t="s">
        <v>113</v>
      </c>
      <c r="D72" s="634" t="s">
        <v>114</v>
      </c>
      <c r="E72" t="s">
        <v>108</v>
      </c>
    </row>
    <row r="73" spans="2:5" ht="16.5" thickBot="1">
      <c r="B73" s="473" t="s">
        <v>109</v>
      </c>
      <c r="C73" s="533"/>
      <c r="D73" s="706"/>
      <c r="E73" s="504">
        <v>45597</v>
      </c>
    </row>
    <row r="74" spans="2:5" ht="16.5" thickBot="1">
      <c r="B74" s="474" t="s">
        <v>110</v>
      </c>
      <c r="C74" s="533"/>
      <c r="D74" s="543"/>
      <c r="E74" s="504"/>
    </row>
    <row r="75" spans="2:5" ht="16.5" thickBot="1">
      <c r="B75" s="474" t="s">
        <v>111</v>
      </c>
      <c r="C75" s="533"/>
      <c r="D75" s="767"/>
      <c r="E75" s="504"/>
    </row>
    <row r="76" spans="2:5" ht="16.5" thickBot="1">
      <c r="B76" s="475" t="s">
        <v>112</v>
      </c>
      <c r="C76" s="534"/>
      <c r="D76" s="768"/>
      <c r="E76" s="504"/>
    </row>
    <row r="77" spans="2:5">
      <c r="C77" s="589">
        <f>SUM(C73:C76)</f>
        <v>0</v>
      </c>
      <c r="D77" s="509">
        <f>SUM(D73:D76)</f>
        <v>0</v>
      </c>
    </row>
    <row r="79" spans="2:5" ht="32.25" thickBot="1">
      <c r="C79" t="s">
        <v>113</v>
      </c>
      <c r="D79" s="634" t="s">
        <v>114</v>
      </c>
      <c r="E79" t="s">
        <v>108</v>
      </c>
    </row>
    <row r="80" spans="2:5" ht="16.5" thickBot="1">
      <c r="B80" s="473" t="s">
        <v>109</v>
      </c>
      <c r="C80" s="533"/>
      <c r="D80" s="706"/>
      <c r="E80" s="504">
        <v>45627</v>
      </c>
    </row>
    <row r="81" spans="2:5" ht="16.5" thickBot="1">
      <c r="B81" s="474" t="s">
        <v>110</v>
      </c>
      <c r="C81" s="533"/>
      <c r="D81" s="543"/>
      <c r="E81" s="504"/>
    </row>
    <row r="82" spans="2:5" ht="16.5" thickBot="1">
      <c r="B82" s="474" t="s">
        <v>111</v>
      </c>
      <c r="C82" s="533"/>
      <c r="D82" s="545"/>
      <c r="E82" s="504"/>
    </row>
    <row r="83" spans="2:5" ht="16.5" thickBot="1">
      <c r="B83" s="475" t="s">
        <v>112</v>
      </c>
      <c r="C83" s="534"/>
      <c r="D83" s="544"/>
      <c r="E83" s="504"/>
    </row>
    <row r="84" spans="2:5">
      <c r="C84" s="589">
        <f>SUM(C80:C83)</f>
        <v>0</v>
      </c>
      <c r="D84" s="509">
        <f>SUM(D80:D83)</f>
        <v>0</v>
      </c>
    </row>
    <row r="748" spans="4:4">
      <c r="D748" s="509"/>
    </row>
  </sheetData>
  <mergeCells count="1">
    <mergeCell ref="B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C4C65-3860-4702-9DC0-B39CFF4B6D2A}">
  <sheetPr codeName="Hoja7">
    <tabColor rgb="FF92D050"/>
  </sheetPr>
  <dimension ref="A2:P33"/>
  <sheetViews>
    <sheetView topLeftCell="C18" zoomScaleNormal="100" workbookViewId="0">
      <selection activeCell="E18" sqref="E18"/>
    </sheetView>
  </sheetViews>
  <sheetFormatPr baseColWidth="10" defaultRowHeight="15.75"/>
  <cols>
    <col min="2" max="2" width="21.75" style="4" customWidth="1"/>
    <col min="3" max="3" width="20.75" style="4" customWidth="1"/>
    <col min="4" max="4" width="20.625" style="4" customWidth="1"/>
    <col min="5" max="5" width="19.625" style="4" customWidth="1"/>
    <col min="6" max="6" width="24.75" style="4" customWidth="1"/>
    <col min="7" max="7" width="19.25" style="4" customWidth="1"/>
    <col min="8" max="8" width="20.75" style="4" customWidth="1"/>
    <col min="9" max="9" width="20.125" style="4" customWidth="1"/>
    <col min="10" max="10" width="20.625" style="4" customWidth="1"/>
    <col min="11" max="11" width="16.875" style="4" customWidth="1"/>
    <col min="12" max="12" width="25.5" style="4" customWidth="1"/>
    <col min="13" max="13" width="16.125" style="4" customWidth="1"/>
    <col min="14" max="14" width="14.625" style="4" bestFit="1" customWidth="1"/>
    <col min="15" max="15" width="12.625" style="4" bestFit="1" customWidth="1"/>
    <col min="16" max="16" width="27.5" customWidth="1"/>
  </cols>
  <sheetData>
    <row r="2" spans="1:15">
      <c r="A2" t="s">
        <v>15</v>
      </c>
    </row>
    <row r="3" spans="1:15">
      <c r="A3">
        <v>2024</v>
      </c>
    </row>
    <row r="4" spans="1:15">
      <c r="A4" t="s">
        <v>434</v>
      </c>
    </row>
    <row r="5" spans="1:15" ht="30" customHeight="1">
      <c r="B5" s="551" t="s">
        <v>26</v>
      </c>
      <c r="C5" s="551" t="s">
        <v>27</v>
      </c>
      <c r="D5" s="551" t="s">
        <v>28</v>
      </c>
      <c r="E5" s="551" t="s">
        <v>29</v>
      </c>
      <c r="F5" s="551" t="s">
        <v>30</v>
      </c>
      <c r="G5" s="551" t="s">
        <v>31</v>
      </c>
      <c r="H5" s="551" t="s">
        <v>32</v>
      </c>
      <c r="I5" s="551" t="s">
        <v>33</v>
      </c>
      <c r="J5" s="551" t="s">
        <v>34</v>
      </c>
      <c r="K5" s="551" t="s">
        <v>35</v>
      </c>
      <c r="L5" s="551" t="s">
        <v>36</v>
      </c>
      <c r="M5" s="551" t="s">
        <v>37</v>
      </c>
      <c r="N5" s="551" t="s">
        <v>38</v>
      </c>
      <c r="O5" s="674" t="s">
        <v>621</v>
      </c>
    </row>
    <row r="6" spans="1:15" s="470" customFormat="1">
      <c r="A6" s="1">
        <v>45292</v>
      </c>
      <c r="B6" s="532"/>
      <c r="C6" s="532"/>
      <c r="D6" s="532"/>
      <c r="E6" s="532"/>
      <c r="F6" s="532"/>
      <c r="G6" s="532"/>
      <c r="H6" s="637"/>
      <c r="I6" s="635"/>
      <c r="J6" s="635"/>
      <c r="K6" s="635"/>
      <c r="L6" s="637"/>
      <c r="M6" s="635"/>
      <c r="N6" s="635"/>
      <c r="O6" s="675"/>
    </row>
    <row r="7" spans="1:15">
      <c r="A7" s="1">
        <v>45323</v>
      </c>
      <c r="B7" s="532"/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635">
        <f>+'Clientes agua 23-25'!N7*'UNIDADES AGUA 23 23-25'!$O$19</f>
        <v>1094560.9800499466</v>
      </c>
      <c r="O7" s="675">
        <f>+'Clientes agua 23-25'!O7*'UNIDADES AGUA 23 23-25'!$O$19</f>
        <v>1006358.4933080577</v>
      </c>
    </row>
    <row r="8" spans="1:15">
      <c r="A8" s="1">
        <v>45352</v>
      </c>
      <c r="B8" s="581"/>
      <c r="C8" s="531"/>
      <c r="D8" s="531"/>
      <c r="E8" s="531"/>
      <c r="F8" s="581"/>
      <c r="G8" s="531"/>
      <c r="H8" s="636"/>
      <c r="I8" s="635"/>
      <c r="J8" s="635"/>
      <c r="K8" s="635"/>
      <c r="L8" s="636"/>
      <c r="M8" s="635"/>
      <c r="N8" s="635">
        <f>+'Clientes agua 23-25'!N8*'UNIDADES AGUA 23 23-25'!$O$19</f>
        <v>1094537.7661541495</v>
      </c>
      <c r="O8" s="675">
        <f>+'Clientes agua 23-25'!O8*'UNIDADES AGUA 23 23-25'!$O$19</f>
        <v>1006425.5556736937</v>
      </c>
    </row>
    <row r="9" spans="1:15">
      <c r="A9" s="1">
        <v>45383</v>
      </c>
      <c r="B9" s="532"/>
      <c r="C9" s="532"/>
      <c r="D9" s="532"/>
      <c r="E9" s="532"/>
      <c r="F9" s="532"/>
      <c r="G9" s="532"/>
      <c r="H9" s="635"/>
      <c r="I9" s="635"/>
      <c r="J9" s="635"/>
      <c r="K9" s="635"/>
      <c r="L9" s="635"/>
      <c r="M9" s="635"/>
      <c r="N9" s="635">
        <f>+'Clientes agua 23-25'!N9*'UNIDADES AGUA 23 23-25'!$O$19</f>
        <v>1091566.3874921231</v>
      </c>
      <c r="O9" s="675">
        <f>+'Clientes agua 23-25'!O9*'UNIDADES AGUA 23 23-25'!$O$19</f>
        <v>1003317.47295864</v>
      </c>
    </row>
    <row r="10" spans="1:15">
      <c r="A10" s="1">
        <v>45413</v>
      </c>
      <c r="N10" s="635">
        <f>+'Clientes agua 23-25'!N10*'UNIDADES AGUA 23 23-25'!$O$19</f>
        <v>1098435.1213263038</v>
      </c>
      <c r="O10" s="675">
        <f>+'Clientes agua 23-25'!O10*'UNIDADES AGUA 23 23-25'!$O$19</f>
        <v>1009706.4529463479</v>
      </c>
    </row>
    <row r="11" spans="1:15">
      <c r="A11" s="1">
        <v>45444</v>
      </c>
      <c r="B11" s="532"/>
      <c r="C11" s="532"/>
      <c r="D11" s="532"/>
      <c r="E11" s="532"/>
      <c r="F11" s="532"/>
      <c r="G11" s="532"/>
      <c r="H11" s="532"/>
      <c r="I11" s="532"/>
      <c r="J11" s="532"/>
      <c r="K11" s="532"/>
      <c r="L11" s="532"/>
      <c r="M11" s="532"/>
      <c r="N11" s="635">
        <f>+'Clientes agua 23-25'!N11*'UNIDADES AGUA 23 23-25'!$O$19</f>
        <v>1098587.3013098626</v>
      </c>
      <c r="O11" s="675">
        <f>+'Clientes agua 23-25'!O11*'UNIDADES AGUA 23 23-25'!$O$19</f>
        <v>1009830.2603905989</v>
      </c>
    </row>
    <row r="12" spans="1:15">
      <c r="A12" s="1">
        <v>45474</v>
      </c>
      <c r="B12" s="532"/>
      <c r="C12" s="532"/>
      <c r="D12" s="532"/>
      <c r="E12" s="532"/>
      <c r="F12" s="532"/>
      <c r="G12" s="532"/>
      <c r="H12" s="532"/>
      <c r="I12" s="532"/>
      <c r="J12" s="532"/>
      <c r="K12" s="532"/>
      <c r="L12" s="532"/>
      <c r="M12" s="532"/>
      <c r="N12" s="635"/>
      <c r="O12" s="675"/>
    </row>
    <row r="13" spans="1:15">
      <c r="A13" s="1">
        <v>45505</v>
      </c>
      <c r="B13" s="532">
        <v>429265</v>
      </c>
      <c r="C13" s="532">
        <v>751</v>
      </c>
      <c r="D13" s="532">
        <v>45088</v>
      </c>
      <c r="E13" s="532">
        <v>2515</v>
      </c>
      <c r="F13" s="532">
        <v>123201</v>
      </c>
      <c r="G13" s="532">
        <v>2600</v>
      </c>
      <c r="H13" s="532">
        <v>381121</v>
      </c>
      <c r="I13" s="532">
        <v>775</v>
      </c>
      <c r="J13" s="532">
        <v>22624</v>
      </c>
      <c r="K13" s="532">
        <v>793</v>
      </c>
      <c r="L13" s="532">
        <v>50433</v>
      </c>
      <c r="M13" s="532">
        <v>47647</v>
      </c>
      <c r="N13" s="635">
        <f t="shared" ref="N13:N17" si="0">SUM(B13:M13)</f>
        <v>1106813</v>
      </c>
      <c r="O13" s="675">
        <f t="shared" ref="O13:O16" si="1">SUM(B13,F13,H13,L13)</f>
        <v>984020</v>
      </c>
    </row>
    <row r="14" spans="1:15">
      <c r="A14" s="1">
        <v>45536</v>
      </c>
      <c r="B14" s="4">
        <v>431358</v>
      </c>
      <c r="C14" s="4">
        <v>750</v>
      </c>
      <c r="D14" s="4">
        <v>45088</v>
      </c>
      <c r="E14" s="4">
        <v>2514</v>
      </c>
      <c r="F14" s="4">
        <v>123286</v>
      </c>
      <c r="G14" s="4">
        <v>2619</v>
      </c>
      <c r="H14" s="4">
        <v>383479</v>
      </c>
      <c r="I14" s="4">
        <v>776</v>
      </c>
      <c r="J14" s="4">
        <v>22653</v>
      </c>
      <c r="K14" s="4">
        <v>798</v>
      </c>
      <c r="L14" s="4">
        <v>50532</v>
      </c>
      <c r="M14" s="4">
        <v>47890</v>
      </c>
      <c r="N14" s="635">
        <f t="shared" si="0"/>
        <v>1111743</v>
      </c>
      <c r="O14" s="675">
        <f t="shared" si="1"/>
        <v>988655</v>
      </c>
    </row>
    <row r="15" spans="1:15">
      <c r="A15" s="1">
        <v>45566</v>
      </c>
      <c r="B15" s="4">
        <v>432176</v>
      </c>
      <c r="C15" s="4">
        <v>748</v>
      </c>
      <c r="D15" s="4">
        <v>45077</v>
      </c>
      <c r="E15" s="4">
        <v>2514</v>
      </c>
      <c r="F15" s="4">
        <v>123366</v>
      </c>
      <c r="G15" s="4">
        <v>2637</v>
      </c>
      <c r="H15" s="4">
        <v>385976</v>
      </c>
      <c r="I15" s="4">
        <v>781</v>
      </c>
      <c r="J15" s="4">
        <v>22714</v>
      </c>
      <c r="K15" s="4">
        <v>800</v>
      </c>
      <c r="L15" s="4">
        <v>50612</v>
      </c>
      <c r="M15" s="4">
        <v>47468</v>
      </c>
      <c r="N15" s="635">
        <f t="shared" si="0"/>
        <v>1114869</v>
      </c>
      <c r="O15" s="675">
        <f t="shared" si="1"/>
        <v>992130</v>
      </c>
    </row>
    <row r="16" spans="1:15">
      <c r="A16" s="1">
        <v>45597</v>
      </c>
      <c r="B16" s="4">
        <v>432455</v>
      </c>
      <c r="C16" s="4">
        <v>746</v>
      </c>
      <c r="D16" s="4">
        <v>44978</v>
      </c>
      <c r="E16" s="4">
        <v>2515</v>
      </c>
      <c r="F16" s="4">
        <v>123422</v>
      </c>
      <c r="G16" s="4">
        <v>2650</v>
      </c>
      <c r="H16" s="4">
        <v>387854</v>
      </c>
      <c r="I16" s="4">
        <v>782</v>
      </c>
      <c r="J16" s="4">
        <v>23139</v>
      </c>
      <c r="K16" s="4">
        <v>804</v>
      </c>
      <c r="L16" s="4">
        <v>50693</v>
      </c>
      <c r="M16" s="4">
        <v>48411</v>
      </c>
      <c r="N16" s="635">
        <f t="shared" si="0"/>
        <v>1118449</v>
      </c>
      <c r="O16" s="675">
        <f t="shared" si="1"/>
        <v>994424</v>
      </c>
    </row>
    <row r="17" spans="1:16">
      <c r="A17" s="1">
        <v>45627</v>
      </c>
      <c r="B17" s="4">
        <v>432493</v>
      </c>
      <c r="C17" s="4">
        <v>746</v>
      </c>
      <c r="D17" s="4">
        <v>45070</v>
      </c>
      <c r="E17" s="4">
        <v>2512</v>
      </c>
      <c r="F17" s="4">
        <v>123428</v>
      </c>
      <c r="G17" s="4">
        <v>3801</v>
      </c>
      <c r="H17" s="4">
        <v>387923</v>
      </c>
      <c r="I17" s="4">
        <v>782</v>
      </c>
      <c r="J17" s="4">
        <v>23081</v>
      </c>
      <c r="K17" s="4">
        <v>807</v>
      </c>
      <c r="L17" s="4">
        <v>50776</v>
      </c>
      <c r="M17" s="4">
        <v>49446</v>
      </c>
      <c r="N17" s="635">
        <f t="shared" si="0"/>
        <v>1120865</v>
      </c>
      <c r="O17" s="675">
        <f>SUM(B17,F17,H17,L17)</f>
        <v>994620</v>
      </c>
    </row>
    <row r="18" spans="1:16">
      <c r="P18" s="622" t="s">
        <v>622</v>
      </c>
    </row>
    <row r="19" spans="1:16">
      <c r="N19" s="4">
        <f>+N17/'[1]Clientes agua 23-25'!N17</f>
        <v>2.6715567684808903</v>
      </c>
      <c r="O19" s="4">
        <f>+O17/'[1]Clientes agua 23-25'!O17</f>
        <v>2.5793217552312813</v>
      </c>
    </row>
    <row r="21" spans="1:16" ht="31.5">
      <c r="B21" t="s">
        <v>505</v>
      </c>
      <c r="C21" s="686" t="s">
        <v>506</v>
      </c>
      <c r="D21" s="686" t="s">
        <v>507</v>
      </c>
      <c r="E21" t="s">
        <v>509</v>
      </c>
      <c r="F21" s="832" t="s">
        <v>607</v>
      </c>
    </row>
    <row r="22" spans="1:16">
      <c r="B22" t="s">
        <v>508</v>
      </c>
      <c r="C22" s="687">
        <v>155775</v>
      </c>
      <c r="D22" s="688">
        <v>93097</v>
      </c>
      <c r="E22" s="689">
        <f>$C22+$D22</f>
        <v>248872</v>
      </c>
    </row>
    <row r="23" spans="1:16">
      <c r="B23" t="s">
        <v>484</v>
      </c>
      <c r="C23" s="687">
        <v>155775</v>
      </c>
      <c r="D23" s="688">
        <v>93097</v>
      </c>
      <c r="E23" s="689">
        <f t="shared" ref="E23:E33" si="2">$C23+$D23</f>
        <v>248872</v>
      </c>
      <c r="F23" s="4">
        <f>$O7+$E23</f>
        <v>1255230.4933080575</v>
      </c>
    </row>
    <row r="24" spans="1:16">
      <c r="B24" t="s">
        <v>485</v>
      </c>
      <c r="C24" s="687">
        <v>155775</v>
      </c>
      <c r="D24" s="688">
        <v>93097</v>
      </c>
      <c r="E24" s="689">
        <f t="shared" si="2"/>
        <v>248872</v>
      </c>
      <c r="F24" s="4">
        <f>$O8+$E24</f>
        <v>1255297.5556736938</v>
      </c>
    </row>
    <row r="25" spans="1:16">
      <c r="B25" t="s">
        <v>486</v>
      </c>
      <c r="C25" s="687">
        <v>155775</v>
      </c>
      <c r="D25" s="688">
        <v>93097</v>
      </c>
      <c r="E25" s="689">
        <f>$C25+$D25</f>
        <v>248872</v>
      </c>
      <c r="F25" s="4">
        <f>$O9+$E25</f>
        <v>1252189.47295864</v>
      </c>
    </row>
    <row r="26" spans="1:16">
      <c r="B26" t="s">
        <v>487</v>
      </c>
      <c r="C26" s="687">
        <v>155775</v>
      </c>
      <c r="D26" s="688">
        <v>93097</v>
      </c>
      <c r="E26" s="689">
        <f>$C26+$D26</f>
        <v>248872</v>
      </c>
      <c r="F26" s="4">
        <f t="shared" ref="F26" si="3">$O10+$E26</f>
        <v>1258578.4529463479</v>
      </c>
    </row>
    <row r="27" spans="1:16">
      <c r="B27" t="s">
        <v>488</v>
      </c>
      <c r="C27" s="687">
        <v>155775</v>
      </c>
      <c r="D27" s="688">
        <v>93097</v>
      </c>
      <c r="E27" s="689">
        <f>$C27+$D27</f>
        <v>248872</v>
      </c>
      <c r="F27" s="4">
        <f t="shared" ref="F27:F32" si="4">$O11+$E27</f>
        <v>1258702.2603905988</v>
      </c>
    </row>
    <row r="28" spans="1:16">
      <c r="B28" t="s">
        <v>489</v>
      </c>
      <c r="C28" s="687">
        <v>155775</v>
      </c>
      <c r="D28" s="688">
        <v>93097</v>
      </c>
      <c r="E28" s="689">
        <f>$C28+$D28</f>
        <v>248872</v>
      </c>
      <c r="F28" s="4">
        <f t="shared" si="4"/>
        <v>248872</v>
      </c>
    </row>
    <row r="29" spans="1:16">
      <c r="B29" t="s">
        <v>490</v>
      </c>
      <c r="C29" s="687">
        <v>155775</v>
      </c>
      <c r="D29" s="688">
        <v>93097</v>
      </c>
      <c r="E29" s="689">
        <f>$C29+$D29</f>
        <v>248872</v>
      </c>
      <c r="F29" s="4">
        <f t="shared" si="4"/>
        <v>1232892</v>
      </c>
    </row>
    <row r="30" spans="1:16">
      <c r="B30" t="s">
        <v>491</v>
      </c>
      <c r="C30" s="687">
        <v>155775</v>
      </c>
      <c r="D30" s="688">
        <v>93097</v>
      </c>
      <c r="E30" s="689">
        <f t="shared" si="2"/>
        <v>248872</v>
      </c>
      <c r="F30" s="4">
        <f t="shared" si="4"/>
        <v>1237527</v>
      </c>
    </row>
    <row r="31" spans="1:16">
      <c r="B31" t="s">
        <v>492</v>
      </c>
      <c r="C31" s="687">
        <v>155775</v>
      </c>
      <c r="D31" s="688">
        <v>93097</v>
      </c>
      <c r="E31" s="689">
        <f t="shared" si="2"/>
        <v>248872</v>
      </c>
      <c r="F31" s="4">
        <f t="shared" si="4"/>
        <v>1241002</v>
      </c>
    </row>
    <row r="32" spans="1:16">
      <c r="B32" t="s">
        <v>493</v>
      </c>
      <c r="C32" s="687">
        <v>155775</v>
      </c>
      <c r="D32" s="688">
        <v>93097</v>
      </c>
      <c r="E32" s="689">
        <f t="shared" si="2"/>
        <v>248872</v>
      </c>
      <c r="F32" s="4">
        <f t="shared" si="4"/>
        <v>1243296</v>
      </c>
    </row>
    <row r="33" spans="2:6">
      <c r="B33" t="s">
        <v>494</v>
      </c>
      <c r="C33" s="687">
        <v>155775</v>
      </c>
      <c r="D33" s="688">
        <v>93097</v>
      </c>
      <c r="E33" s="689">
        <f t="shared" si="2"/>
        <v>248872</v>
      </c>
      <c r="F33" s="4">
        <f>$O17+$E33</f>
        <v>1243492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9FF4B-416C-4C25-ADA9-E3A219E3756E}">
  <sheetPr codeName="Hoja8">
    <tabColor rgb="FF92D050"/>
  </sheetPr>
  <dimension ref="A2:P41"/>
  <sheetViews>
    <sheetView topLeftCell="A19" workbookViewId="0">
      <selection activeCell="P25" sqref="P25"/>
    </sheetView>
  </sheetViews>
  <sheetFormatPr baseColWidth="10" defaultRowHeight="15.75"/>
  <cols>
    <col min="2" max="2" width="25.25" bestFit="1" customWidth="1"/>
    <col min="3" max="3" width="24.375" bestFit="1" customWidth="1"/>
    <col min="4" max="4" width="24.5" bestFit="1" customWidth="1"/>
    <col min="5" max="5" width="20.875" bestFit="1" customWidth="1"/>
    <col min="6" max="6" width="30.625" bestFit="1" customWidth="1"/>
    <col min="7" max="7" width="20.25" bestFit="1" customWidth="1"/>
    <col min="8" max="8" width="25.5" bestFit="1" customWidth="1"/>
    <col min="9" max="9" width="24.625" bestFit="1" customWidth="1"/>
    <col min="10" max="10" width="24.75" bestFit="1" customWidth="1"/>
    <col min="11" max="11" width="21.25" bestFit="1" customWidth="1"/>
    <col min="12" max="12" width="30.125" bestFit="1" customWidth="1"/>
    <col min="13" max="13" width="20.5" bestFit="1" customWidth="1"/>
    <col min="14" max="14" width="14.625" bestFit="1" customWidth="1"/>
    <col min="15" max="15" width="18.625" customWidth="1"/>
    <col min="16" max="16" width="15.375" customWidth="1"/>
  </cols>
  <sheetData>
    <row r="2" spans="1:16">
      <c r="A2" t="s">
        <v>15</v>
      </c>
    </row>
    <row r="3" spans="1:16">
      <c r="A3" t="s">
        <v>16</v>
      </c>
    </row>
    <row r="4" spans="1:16">
      <c r="A4" t="s">
        <v>107</v>
      </c>
    </row>
    <row r="5" spans="1:16" ht="62.25" customHeight="1">
      <c r="B5" s="3" t="s">
        <v>26</v>
      </c>
      <c r="C5" s="3" t="s">
        <v>27</v>
      </c>
      <c r="D5" s="3" t="s">
        <v>28</v>
      </c>
      <c r="E5" s="3" t="s">
        <v>29</v>
      </c>
      <c r="F5" s="3" t="s">
        <v>30</v>
      </c>
      <c r="G5" s="3" t="s">
        <v>31</v>
      </c>
      <c r="H5" s="3" t="s">
        <v>32</v>
      </c>
      <c r="I5" s="3" t="s">
        <v>33</v>
      </c>
      <c r="J5" s="3" t="s">
        <v>34</v>
      </c>
      <c r="K5" s="3" t="s">
        <v>35</v>
      </c>
      <c r="L5" s="3" t="s">
        <v>36</v>
      </c>
      <c r="M5" s="3" t="s">
        <v>37</v>
      </c>
      <c r="N5" s="3" t="s">
        <v>38</v>
      </c>
      <c r="O5" s="3" t="s">
        <v>346</v>
      </c>
      <c r="P5" s="3" t="s">
        <v>446</v>
      </c>
    </row>
    <row r="6" spans="1:16">
      <c r="A6" s="1">
        <v>44927</v>
      </c>
      <c r="B6" s="449">
        <v>314435</v>
      </c>
      <c r="C6" s="449">
        <v>560</v>
      </c>
      <c r="D6" s="449">
        <v>37771</v>
      </c>
      <c r="E6" s="449">
        <v>2119</v>
      </c>
      <c r="F6" s="449">
        <v>99441</v>
      </c>
      <c r="G6" s="449">
        <v>2133</v>
      </c>
      <c r="H6" s="4">
        <v>49351</v>
      </c>
      <c r="I6" s="4">
        <v>61</v>
      </c>
      <c r="J6" s="4">
        <v>2745</v>
      </c>
      <c r="K6" s="4">
        <v>117</v>
      </c>
      <c r="L6" s="4">
        <v>5634</v>
      </c>
      <c r="M6" s="4">
        <v>1466</v>
      </c>
      <c r="N6" s="5">
        <f>+SUM(B6:G6)</f>
        <v>456459</v>
      </c>
      <c r="O6" s="505">
        <f>+L6+H6+B6+F6</f>
        <v>468861</v>
      </c>
    </row>
    <row r="7" spans="1:16">
      <c r="A7" s="1">
        <v>44958</v>
      </c>
      <c r="B7" s="449">
        <v>314435</v>
      </c>
      <c r="C7" s="449">
        <v>560</v>
      </c>
      <c r="D7" s="449">
        <v>37771</v>
      </c>
      <c r="E7" s="449">
        <v>2119</v>
      </c>
      <c r="F7" s="449">
        <v>99441</v>
      </c>
      <c r="G7" s="449">
        <v>2133</v>
      </c>
      <c r="H7" s="4">
        <v>49490</v>
      </c>
      <c r="I7" s="4">
        <v>61</v>
      </c>
      <c r="J7" s="4">
        <v>2745</v>
      </c>
      <c r="K7" s="4">
        <v>117</v>
      </c>
      <c r="L7" s="4">
        <v>5634</v>
      </c>
      <c r="M7" s="4">
        <v>1465</v>
      </c>
      <c r="N7" s="5">
        <f>+SUM(B7:G7)</f>
        <v>456459</v>
      </c>
      <c r="O7" s="505">
        <f>+L7+H7+B7+F7</f>
        <v>469000</v>
      </c>
    </row>
    <row r="8" spans="1:16">
      <c r="A8" s="1">
        <v>44986</v>
      </c>
      <c r="B8" s="449">
        <v>314435</v>
      </c>
      <c r="C8" s="449">
        <v>560</v>
      </c>
      <c r="D8" s="449">
        <v>37771</v>
      </c>
      <c r="E8" s="449">
        <v>2119</v>
      </c>
      <c r="F8" s="449">
        <v>99441</v>
      </c>
      <c r="G8" s="449">
        <v>2133</v>
      </c>
      <c r="H8" s="4">
        <v>49818</v>
      </c>
      <c r="I8" s="4">
        <v>61</v>
      </c>
      <c r="J8" s="4">
        <v>2744</v>
      </c>
      <c r="K8" s="4">
        <v>117</v>
      </c>
      <c r="L8" s="4">
        <v>5634</v>
      </c>
      <c r="M8" s="4">
        <v>1465</v>
      </c>
      <c r="N8" s="5">
        <f t="shared" ref="N8:N17" si="0">SUM(B8:G8)</f>
        <v>456459</v>
      </c>
      <c r="O8" s="505">
        <f t="shared" ref="O8:O13" si="1">+L8+H8+F8+B8</f>
        <v>469328</v>
      </c>
    </row>
    <row r="9" spans="1:16">
      <c r="A9" s="1">
        <v>45017</v>
      </c>
      <c r="B9" s="449">
        <v>314435</v>
      </c>
      <c r="C9" s="449">
        <v>560</v>
      </c>
      <c r="D9" s="449">
        <v>37771</v>
      </c>
      <c r="E9" s="449">
        <v>2119</v>
      </c>
      <c r="F9" s="449">
        <v>99441</v>
      </c>
      <c r="G9" s="449">
        <v>2133</v>
      </c>
      <c r="H9" s="4">
        <v>50518</v>
      </c>
      <c r="I9" s="4">
        <v>61</v>
      </c>
      <c r="J9" s="4">
        <v>2745</v>
      </c>
      <c r="K9" s="4">
        <v>118</v>
      </c>
      <c r="L9" s="4">
        <v>5636</v>
      </c>
      <c r="M9" s="4">
        <v>1465</v>
      </c>
      <c r="N9" s="5">
        <f t="shared" si="0"/>
        <v>456459</v>
      </c>
      <c r="O9" s="505">
        <f t="shared" si="1"/>
        <v>470030</v>
      </c>
      <c r="P9" s="5"/>
    </row>
    <row r="10" spans="1:16">
      <c r="A10" s="1">
        <v>45047</v>
      </c>
      <c r="B10" s="449">
        <v>314435</v>
      </c>
      <c r="C10" s="449">
        <v>560</v>
      </c>
      <c r="D10" s="449">
        <v>37771</v>
      </c>
      <c r="E10" s="449">
        <v>2119</v>
      </c>
      <c r="F10" s="449">
        <v>99441</v>
      </c>
      <c r="G10" s="449">
        <v>2133</v>
      </c>
      <c r="H10" s="4">
        <v>50683</v>
      </c>
      <c r="I10" s="4">
        <v>61</v>
      </c>
      <c r="J10" s="4">
        <v>2809</v>
      </c>
      <c r="K10" s="4">
        <v>118</v>
      </c>
      <c r="L10" s="4">
        <v>5659</v>
      </c>
      <c r="M10" s="4">
        <v>1456</v>
      </c>
      <c r="N10" s="5">
        <f t="shared" si="0"/>
        <v>456459</v>
      </c>
      <c r="O10" s="505">
        <f t="shared" si="1"/>
        <v>470218</v>
      </c>
      <c r="P10" s="5"/>
    </row>
    <row r="11" spans="1:16">
      <c r="A11" s="1">
        <v>45078</v>
      </c>
      <c r="B11" s="449">
        <v>314435</v>
      </c>
      <c r="C11" s="449">
        <v>560</v>
      </c>
      <c r="D11" s="449">
        <v>37771</v>
      </c>
      <c r="E11" s="449">
        <v>2119</v>
      </c>
      <c r="F11" s="449">
        <v>99441</v>
      </c>
      <c r="G11" s="449">
        <v>2133</v>
      </c>
      <c r="H11" s="4">
        <v>50743</v>
      </c>
      <c r="I11" s="4">
        <v>61</v>
      </c>
      <c r="J11" s="4">
        <v>2808</v>
      </c>
      <c r="K11" s="4">
        <v>118</v>
      </c>
      <c r="L11" s="4">
        <v>5655</v>
      </c>
      <c r="M11" s="4">
        <v>1457</v>
      </c>
      <c r="N11" s="5">
        <f t="shared" si="0"/>
        <v>456459</v>
      </c>
      <c r="O11" s="505">
        <f t="shared" si="1"/>
        <v>470274</v>
      </c>
      <c r="P11" s="5"/>
    </row>
    <row r="12" spans="1:16">
      <c r="A12" s="1">
        <v>45108</v>
      </c>
      <c r="B12" s="449">
        <v>314435</v>
      </c>
      <c r="C12" s="449">
        <v>560</v>
      </c>
      <c r="D12" s="449">
        <v>37771</v>
      </c>
      <c r="E12" s="449">
        <v>2119</v>
      </c>
      <c r="F12" s="449">
        <v>99441</v>
      </c>
      <c r="G12" s="449">
        <v>2133</v>
      </c>
      <c r="H12" s="4">
        <v>50840</v>
      </c>
      <c r="I12" s="4">
        <v>61</v>
      </c>
      <c r="J12" s="4">
        <v>2813</v>
      </c>
      <c r="K12" s="4">
        <v>118</v>
      </c>
      <c r="L12" s="4">
        <v>5657</v>
      </c>
      <c r="M12" s="4">
        <v>1455</v>
      </c>
      <c r="N12" s="5">
        <f>SUM(B12:G12)</f>
        <v>456459</v>
      </c>
      <c r="O12" s="505">
        <f t="shared" si="1"/>
        <v>470373</v>
      </c>
      <c r="P12" s="5"/>
    </row>
    <row r="13" spans="1:16">
      <c r="A13" s="1">
        <v>45139</v>
      </c>
      <c r="B13" s="449">
        <v>314435</v>
      </c>
      <c r="C13" s="449">
        <v>560</v>
      </c>
      <c r="D13" s="449">
        <v>37771</v>
      </c>
      <c r="E13" s="449">
        <v>2119</v>
      </c>
      <c r="F13" s="449">
        <v>99441</v>
      </c>
      <c r="G13" s="449">
        <v>2133</v>
      </c>
      <c r="H13" s="4">
        <v>50920</v>
      </c>
      <c r="I13" s="4">
        <v>61</v>
      </c>
      <c r="J13" s="4">
        <v>2813</v>
      </c>
      <c r="K13" s="4">
        <v>118</v>
      </c>
      <c r="L13" s="4">
        <v>5663</v>
      </c>
      <c r="M13" s="4">
        <v>1456</v>
      </c>
      <c r="N13" s="5">
        <f t="shared" si="0"/>
        <v>456459</v>
      </c>
      <c r="O13" s="505">
        <f t="shared" si="1"/>
        <v>470459</v>
      </c>
      <c r="P13" s="5"/>
    </row>
    <row r="14" spans="1:16">
      <c r="A14" s="1">
        <v>45170</v>
      </c>
      <c r="B14" s="449">
        <v>314435</v>
      </c>
      <c r="C14" s="449">
        <v>560</v>
      </c>
      <c r="D14" s="449">
        <v>37771</v>
      </c>
      <c r="E14" s="449">
        <v>2119</v>
      </c>
      <c r="F14" s="449">
        <v>99441</v>
      </c>
      <c r="G14" s="449">
        <v>2133</v>
      </c>
      <c r="H14" s="4">
        <v>50941</v>
      </c>
      <c r="I14" s="4">
        <v>61</v>
      </c>
      <c r="J14" s="4">
        <v>2814</v>
      </c>
      <c r="K14" s="4">
        <v>118</v>
      </c>
      <c r="L14" s="4">
        <v>5660</v>
      </c>
      <c r="M14" s="4">
        <v>1454</v>
      </c>
      <c r="N14" s="5">
        <f t="shared" si="0"/>
        <v>456459</v>
      </c>
      <c r="O14" s="505">
        <f>+L14+H14+F14+B14</f>
        <v>470477</v>
      </c>
      <c r="P14" s="5"/>
    </row>
    <row r="15" spans="1:16">
      <c r="A15" s="1">
        <v>45200</v>
      </c>
      <c r="B15" s="449">
        <v>314435</v>
      </c>
      <c r="C15" s="449">
        <v>560</v>
      </c>
      <c r="D15" s="449">
        <v>37771</v>
      </c>
      <c r="E15" s="449">
        <v>2119</v>
      </c>
      <c r="F15" s="449">
        <v>99441</v>
      </c>
      <c r="G15" s="449">
        <v>2133</v>
      </c>
      <c r="H15" s="4">
        <v>50941</v>
      </c>
      <c r="I15" s="4">
        <v>61</v>
      </c>
      <c r="J15" s="4">
        <v>2814</v>
      </c>
      <c r="K15" s="4">
        <v>118</v>
      </c>
      <c r="L15" s="4">
        <v>5660</v>
      </c>
      <c r="M15" s="4">
        <v>1454</v>
      </c>
      <c r="N15" s="5">
        <f t="shared" si="0"/>
        <v>456459</v>
      </c>
      <c r="O15" s="505">
        <f t="shared" ref="O15:O20" si="2">+L15+H15+F15+B15</f>
        <v>470477</v>
      </c>
      <c r="P15" s="5"/>
    </row>
    <row r="16" spans="1:16">
      <c r="A16" s="1">
        <v>45231</v>
      </c>
      <c r="B16" s="449">
        <v>314435</v>
      </c>
      <c r="C16" s="449">
        <v>560</v>
      </c>
      <c r="D16" s="449">
        <v>37771</v>
      </c>
      <c r="E16" s="449">
        <v>2119</v>
      </c>
      <c r="F16" s="449">
        <v>99441</v>
      </c>
      <c r="G16" s="449">
        <v>2133</v>
      </c>
      <c r="H16" s="4">
        <v>50941</v>
      </c>
      <c r="I16" s="4">
        <v>61</v>
      </c>
      <c r="J16" s="4">
        <v>2814</v>
      </c>
      <c r="K16" s="4">
        <v>118</v>
      </c>
      <c r="L16" s="4">
        <v>5660</v>
      </c>
      <c r="M16" s="4">
        <v>1454</v>
      </c>
      <c r="N16" s="5">
        <f t="shared" si="0"/>
        <v>456459</v>
      </c>
      <c r="O16" s="505">
        <f t="shared" si="2"/>
        <v>470477</v>
      </c>
      <c r="P16" s="5"/>
    </row>
    <row r="17" spans="1:16">
      <c r="A17" s="1">
        <v>45261</v>
      </c>
      <c r="B17" s="449">
        <v>314435</v>
      </c>
      <c r="C17" s="449">
        <v>560</v>
      </c>
      <c r="D17" s="449">
        <v>37771</v>
      </c>
      <c r="E17" s="449">
        <v>2119</v>
      </c>
      <c r="F17" s="449">
        <v>99441</v>
      </c>
      <c r="G17" s="449">
        <v>2133</v>
      </c>
      <c r="H17" s="4">
        <v>50941</v>
      </c>
      <c r="I17" s="4">
        <v>61</v>
      </c>
      <c r="J17" s="4">
        <v>2814</v>
      </c>
      <c r="K17" s="4">
        <v>118</v>
      </c>
      <c r="L17" s="4">
        <v>5660</v>
      </c>
      <c r="M17" s="4">
        <v>1454</v>
      </c>
      <c r="N17" s="5">
        <f t="shared" si="0"/>
        <v>456459</v>
      </c>
      <c r="O17" s="505">
        <f t="shared" si="2"/>
        <v>470477</v>
      </c>
      <c r="P17" s="5"/>
    </row>
    <row r="18" spans="1:16">
      <c r="A18" s="1">
        <v>45658</v>
      </c>
      <c r="B18" s="449">
        <v>314435</v>
      </c>
      <c r="C18" s="449">
        <v>560</v>
      </c>
      <c r="D18" s="449">
        <v>37771</v>
      </c>
      <c r="E18" s="449">
        <v>2119</v>
      </c>
      <c r="F18" s="449">
        <v>99441</v>
      </c>
      <c r="G18" s="449">
        <v>2133</v>
      </c>
      <c r="H18" s="4">
        <v>50941</v>
      </c>
      <c r="I18" s="4">
        <v>61</v>
      </c>
      <c r="J18" s="4">
        <v>2814</v>
      </c>
      <c r="K18" s="4">
        <v>118</v>
      </c>
      <c r="L18" s="4">
        <v>5660</v>
      </c>
      <c r="M18" s="4">
        <v>1454</v>
      </c>
      <c r="N18" s="5">
        <f>SUM(B18:G18)</f>
        <v>456459</v>
      </c>
      <c r="O18" s="505">
        <f t="shared" si="2"/>
        <v>470477</v>
      </c>
      <c r="P18" s="5">
        <f>'Clientes alcantarillado 23-25'!N6*2.05</f>
        <v>0</v>
      </c>
    </row>
    <row r="19" spans="1:16">
      <c r="A19" s="1">
        <v>45689</v>
      </c>
      <c r="B19" s="449">
        <v>314435</v>
      </c>
      <c r="C19" s="449">
        <v>560</v>
      </c>
      <c r="D19" s="449">
        <v>37771</v>
      </c>
      <c r="E19" s="449">
        <v>2119</v>
      </c>
      <c r="F19" s="449">
        <v>99441</v>
      </c>
      <c r="G19" s="449">
        <v>2133</v>
      </c>
      <c r="H19" s="4">
        <v>50941</v>
      </c>
      <c r="I19" s="4">
        <v>61</v>
      </c>
      <c r="J19" s="4">
        <v>2814</v>
      </c>
      <c r="K19" s="4">
        <v>118</v>
      </c>
      <c r="L19" s="4">
        <v>5660</v>
      </c>
      <c r="M19" s="4">
        <v>1454</v>
      </c>
      <c r="N19" s="5">
        <f t="shared" ref="N19" si="3">SUM(B19:G19)</f>
        <v>456459</v>
      </c>
      <c r="O19" s="4">
        <f t="shared" si="2"/>
        <v>470477</v>
      </c>
      <c r="P19" s="5">
        <f>'Clientes alcantarillado 23-25'!N7*2</f>
        <v>726786</v>
      </c>
    </row>
    <row r="20" spans="1:16">
      <c r="A20" s="1">
        <v>45717</v>
      </c>
      <c r="B20" s="449">
        <v>314435</v>
      </c>
      <c r="C20" s="449">
        <v>560</v>
      </c>
      <c r="D20" s="449">
        <v>37771</v>
      </c>
      <c r="E20" s="449">
        <v>2119</v>
      </c>
      <c r="F20" s="449">
        <v>99441</v>
      </c>
      <c r="G20" s="449">
        <v>2133</v>
      </c>
      <c r="H20" s="4">
        <v>50941</v>
      </c>
      <c r="I20" s="4">
        <v>61</v>
      </c>
      <c r="J20" s="4">
        <v>2814</v>
      </c>
      <c r="K20" s="4">
        <v>118</v>
      </c>
      <c r="L20" s="4">
        <v>5660</v>
      </c>
      <c r="M20" s="4">
        <v>1454</v>
      </c>
      <c r="N20" s="5">
        <f>SUM(B20:G20)</f>
        <v>456459</v>
      </c>
      <c r="O20" s="4">
        <f t="shared" si="2"/>
        <v>470477</v>
      </c>
      <c r="P20" s="5">
        <f>'Clientes alcantarillado 23-25'!N8*2</f>
        <v>753870</v>
      </c>
    </row>
    <row r="21" spans="1:16">
      <c r="A21" s="1">
        <v>45748</v>
      </c>
      <c r="B21" s="449">
        <v>314435</v>
      </c>
      <c r="C21" s="449">
        <v>560</v>
      </c>
      <c r="D21" s="449">
        <v>37771</v>
      </c>
      <c r="E21" s="449">
        <v>2119</v>
      </c>
      <c r="F21" s="449">
        <v>99441</v>
      </c>
      <c r="G21" s="449">
        <v>2133</v>
      </c>
      <c r="H21" s="4">
        <v>50941</v>
      </c>
      <c r="I21" s="4">
        <v>61</v>
      </c>
      <c r="J21" s="4">
        <v>2814</v>
      </c>
      <c r="K21" s="4">
        <v>118</v>
      </c>
      <c r="L21" s="4">
        <v>5660</v>
      </c>
      <c r="M21" s="4">
        <v>1454</v>
      </c>
      <c r="N21" s="5">
        <f>SUM(B21:G21)</f>
        <v>456459</v>
      </c>
      <c r="O21" s="4">
        <f t="shared" ref="O21" si="4">+L21+H21+F21+B21</f>
        <v>470477</v>
      </c>
      <c r="P21" s="5">
        <f>'Clientes alcantarillado 23-25'!N9*2</f>
        <v>423888</v>
      </c>
    </row>
    <row r="22" spans="1:16">
      <c r="A22" s="1">
        <v>45778</v>
      </c>
      <c r="P22" s="5">
        <f>'Clientes alcantarillado 23-25'!N10*2</f>
        <v>427832</v>
      </c>
    </row>
    <row r="23" spans="1:16">
      <c r="A23" s="1">
        <v>45809</v>
      </c>
      <c r="P23" s="5">
        <f>'Clientes alcantarillado 23-25'!N11*2</f>
        <v>425200</v>
      </c>
    </row>
    <row r="24" spans="1:16">
      <c r="A24" s="1">
        <v>45839</v>
      </c>
      <c r="P24" s="5">
        <f>'Clientes alcantarillado 23-25'!N12*2</f>
        <v>0</v>
      </c>
    </row>
    <row r="25" spans="1:16">
      <c r="A25" s="1">
        <v>45870</v>
      </c>
      <c r="P25" s="5">
        <f>'Clientes alcantarillado 23-25'!N13*2</f>
        <v>0</v>
      </c>
    </row>
    <row r="26" spans="1:16">
      <c r="A26" s="1">
        <v>45901</v>
      </c>
      <c r="P26" s="5">
        <f>'Clientes alcantarillado 23-25'!N14*2</f>
        <v>0</v>
      </c>
    </row>
    <row r="27" spans="1:16">
      <c r="A27" s="1">
        <v>45931</v>
      </c>
      <c r="P27" s="5">
        <f>'Clientes alcantarillado 23-25'!N15*2.05</f>
        <v>0</v>
      </c>
    </row>
    <row r="28" spans="1:16">
      <c r="A28" s="1">
        <v>45962</v>
      </c>
      <c r="P28" s="5">
        <f>'Clientes alcantarillado 23-25'!N16*2.05</f>
        <v>0</v>
      </c>
    </row>
    <row r="29" spans="1:16">
      <c r="A29" s="1">
        <v>45992</v>
      </c>
      <c r="P29" s="5">
        <f>'Clientes alcantarillado 23-25'!N17*2.05</f>
        <v>0</v>
      </c>
    </row>
    <row r="30" spans="1:16">
      <c r="A30" s="1"/>
      <c r="P30" s="5"/>
    </row>
    <row r="31" spans="1:16">
      <c r="A31" s="1"/>
    </row>
    <row r="32" spans="1:16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F9B0F-276B-480A-8858-6580FD362AE5}">
  <sheetPr codeName="Hoja9">
    <tabColor rgb="FFFFFF00"/>
  </sheetPr>
  <dimension ref="A1:AR34"/>
  <sheetViews>
    <sheetView showGridLines="0" topLeftCell="AD4" zoomScale="80" zoomScaleNormal="80" workbookViewId="0">
      <selection activeCell="AQ13" sqref="AQ13"/>
    </sheetView>
  </sheetViews>
  <sheetFormatPr baseColWidth="10" defaultRowHeight="15.75"/>
  <cols>
    <col min="2" max="2" width="22.5" customWidth="1"/>
    <col min="3" max="3" width="12.375" customWidth="1"/>
    <col min="4" max="4" width="13.125" customWidth="1"/>
    <col min="5" max="5" width="12.875" customWidth="1"/>
    <col min="6" max="7" width="15.75" bestFit="1" customWidth="1"/>
    <col min="8" max="8" width="18.125" customWidth="1"/>
    <col min="9" max="9" width="21.75" bestFit="1" customWidth="1"/>
    <col min="10" max="10" width="12.125" customWidth="1"/>
    <col min="14" max="14" width="14.625" bestFit="1" customWidth="1"/>
    <col min="15" max="15" width="11.75" customWidth="1"/>
    <col min="16" max="16" width="12.125" bestFit="1" customWidth="1"/>
    <col min="18" max="18" width="12.125" bestFit="1" customWidth="1"/>
    <col min="19" max="19" width="20.5" bestFit="1" customWidth="1"/>
    <col min="20" max="20" width="14.625" bestFit="1" customWidth="1"/>
    <col min="21" max="21" width="16.875" customWidth="1"/>
    <col min="22" max="22" width="14.625" bestFit="1" customWidth="1"/>
    <col min="23" max="26" width="11.125" bestFit="1" customWidth="1"/>
    <col min="27" max="27" width="16.25" customWidth="1"/>
    <col min="28" max="29" width="12" bestFit="1" customWidth="1"/>
    <col min="30" max="30" width="13.625" bestFit="1" customWidth="1"/>
    <col min="31" max="31" width="12" bestFit="1" customWidth="1"/>
    <col min="32" max="35" width="15.75" bestFit="1" customWidth="1"/>
    <col min="36" max="36" width="12" bestFit="1" customWidth="1"/>
    <col min="38" max="38" width="11" customWidth="1"/>
    <col min="40" max="40" width="14.625" bestFit="1" customWidth="1"/>
    <col min="41" max="41" width="18.375" bestFit="1" customWidth="1"/>
    <col min="42" max="42" width="17.375" bestFit="1" customWidth="1"/>
    <col min="43" max="43" width="11.25" customWidth="1"/>
  </cols>
  <sheetData>
    <row r="1" spans="1:44">
      <c r="A1" s="871" t="s">
        <v>70</v>
      </c>
      <c r="B1" s="871"/>
      <c r="C1" s="871"/>
      <c r="D1" s="871"/>
      <c r="E1" s="871"/>
      <c r="F1" s="871"/>
      <c r="G1" s="871"/>
      <c r="H1" s="871"/>
      <c r="I1" s="871"/>
      <c r="J1" s="871"/>
      <c r="K1" s="871"/>
      <c r="L1" s="871"/>
      <c r="M1" s="871"/>
      <c r="N1" s="871"/>
    </row>
    <row r="2" spans="1:44">
      <c r="A2" s="871" t="s">
        <v>40</v>
      </c>
      <c r="B2" s="871"/>
      <c r="C2" s="871"/>
      <c r="D2" s="871"/>
      <c r="E2" s="871"/>
      <c r="F2" s="871"/>
      <c r="G2" s="871"/>
      <c r="H2" s="871"/>
      <c r="I2" s="871"/>
      <c r="J2" s="871"/>
      <c r="K2" s="871"/>
      <c r="L2" s="871"/>
      <c r="M2" s="871"/>
      <c r="N2" s="871"/>
    </row>
    <row r="3" spans="1:44">
      <c r="A3" s="871" t="s">
        <v>71</v>
      </c>
      <c r="B3" s="871"/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</row>
    <row r="4" spans="1:44">
      <c r="A4" s="871" t="s">
        <v>600</v>
      </c>
      <c r="B4" s="871"/>
      <c r="C4" s="871"/>
      <c r="D4" s="871"/>
      <c r="E4" s="871"/>
      <c r="F4" s="871"/>
      <c r="G4" s="871"/>
      <c r="H4" s="871"/>
      <c r="I4" s="871"/>
      <c r="J4" s="871"/>
      <c r="K4" s="871"/>
      <c r="L4" s="871"/>
      <c r="M4" s="871"/>
      <c r="N4" s="871"/>
    </row>
    <row r="6" spans="1:44" ht="47.25">
      <c r="A6" s="38" t="s">
        <v>72</v>
      </c>
      <c r="B6" s="39" t="s">
        <v>85</v>
      </c>
      <c r="C6" s="40" t="s">
        <v>74</v>
      </c>
      <c r="D6" s="40" t="s">
        <v>75</v>
      </c>
      <c r="E6" s="40" t="s">
        <v>76</v>
      </c>
      <c r="F6" s="40" t="s">
        <v>86</v>
      </c>
      <c r="G6" s="40" t="s">
        <v>87</v>
      </c>
      <c r="H6" s="40" t="s">
        <v>88</v>
      </c>
      <c r="I6" s="40" t="s">
        <v>89</v>
      </c>
      <c r="J6" s="40" t="s">
        <v>77</v>
      </c>
      <c r="K6" s="40" t="s">
        <v>78</v>
      </c>
      <c r="L6" s="40" t="s">
        <v>79</v>
      </c>
      <c r="M6" s="40" t="s">
        <v>80</v>
      </c>
      <c r="N6" s="40" t="s">
        <v>81</v>
      </c>
      <c r="O6" s="41" t="s">
        <v>73</v>
      </c>
      <c r="P6" s="41" t="s">
        <v>74</v>
      </c>
      <c r="Q6" s="41" t="s">
        <v>75</v>
      </c>
      <c r="R6" s="41" t="s">
        <v>76</v>
      </c>
      <c r="S6" s="41" t="s">
        <v>86</v>
      </c>
      <c r="T6" s="41" t="s">
        <v>87</v>
      </c>
      <c r="U6" s="41" t="s">
        <v>88</v>
      </c>
      <c r="V6" s="41" t="s">
        <v>89</v>
      </c>
      <c r="W6" s="41" t="s">
        <v>77</v>
      </c>
      <c r="X6" s="41" t="s">
        <v>78</v>
      </c>
      <c r="Y6" s="41" t="s">
        <v>79</v>
      </c>
      <c r="Z6" s="41" t="s">
        <v>80</v>
      </c>
      <c r="AA6" s="41" t="s">
        <v>81</v>
      </c>
      <c r="AB6" s="42" t="s">
        <v>73</v>
      </c>
      <c r="AC6" s="42" t="s">
        <v>74</v>
      </c>
      <c r="AD6" s="42" t="s">
        <v>75</v>
      </c>
      <c r="AE6" s="42" t="s">
        <v>76</v>
      </c>
      <c r="AF6" s="42" t="s">
        <v>86</v>
      </c>
      <c r="AG6" s="42" t="s">
        <v>87</v>
      </c>
      <c r="AH6" s="42" t="s">
        <v>88</v>
      </c>
      <c r="AI6" s="42" t="s">
        <v>89</v>
      </c>
      <c r="AJ6" s="42" t="s">
        <v>77</v>
      </c>
      <c r="AK6" s="42" t="s">
        <v>78</v>
      </c>
      <c r="AL6" s="42" t="s">
        <v>79</v>
      </c>
      <c r="AM6" s="42" t="s">
        <v>80</v>
      </c>
      <c r="AN6" s="42" t="s">
        <v>82</v>
      </c>
      <c r="AO6" s="42" t="s">
        <v>83</v>
      </c>
      <c r="AP6" s="42" t="s">
        <v>84</v>
      </c>
      <c r="AQ6" s="42" t="s">
        <v>433</v>
      </c>
      <c r="AR6" s="2"/>
    </row>
    <row r="7" spans="1:44">
      <c r="A7" s="1">
        <v>45658</v>
      </c>
      <c r="B7" s="653"/>
      <c r="C7" s="696"/>
      <c r="D7" s="654"/>
      <c r="E7" s="653"/>
      <c r="F7" s="45"/>
      <c r="G7" s="45"/>
      <c r="H7" s="45"/>
      <c r="I7" s="47"/>
      <c r="J7" s="668"/>
      <c r="K7" s="48"/>
      <c r="L7" s="47"/>
      <c r="M7" s="47"/>
      <c r="N7" s="47"/>
      <c r="O7" s="499"/>
      <c r="P7" s="694"/>
      <c r="Q7" s="499"/>
      <c r="R7" s="499"/>
      <c r="S7" s="47"/>
      <c r="T7" s="47"/>
      <c r="U7" s="45"/>
      <c r="V7" s="46"/>
      <c r="W7" s="669"/>
      <c r="X7" s="542"/>
      <c r="Y7" s="542"/>
      <c r="Z7" s="542"/>
      <c r="AA7" s="541"/>
      <c r="AB7" s="653"/>
      <c r="AC7" s="499"/>
      <c r="AD7" s="769"/>
      <c r="AE7" s="499"/>
      <c r="AF7" s="45"/>
      <c r="AG7" s="45"/>
      <c r="AH7" s="45"/>
      <c r="AI7" s="45"/>
      <c r="AJ7" s="653"/>
      <c r="AK7" s="49"/>
      <c r="AL7" s="49"/>
      <c r="AM7" s="49"/>
      <c r="AN7" s="45"/>
      <c r="AO7" s="47"/>
      <c r="AP7" s="5"/>
      <c r="AQ7" s="499">
        <v>5073</v>
      </c>
    </row>
    <row r="8" spans="1:44">
      <c r="A8" s="1">
        <v>45689</v>
      </c>
      <c r="B8" s="653">
        <f>SUM('Clientes agua 23-25'!B7:G7)</f>
        <v>232922</v>
      </c>
      <c r="C8" s="696">
        <f>+'UNIDADES AGUA 23 23-25'!C23</f>
        <v>155775</v>
      </c>
      <c r="D8" s="653">
        <v>68038</v>
      </c>
      <c r="E8" s="653">
        <f>+SUM(B8:C8)</f>
        <v>388697</v>
      </c>
      <c r="F8" s="45">
        <f>+'Facturación 23-25'!P7</f>
        <v>204635478.75002286</v>
      </c>
      <c r="G8" s="47"/>
      <c r="H8" s="45">
        <f>+'Facturación con mora'!P7</f>
        <v>295554336.91002196</v>
      </c>
      <c r="I8" s="47">
        <f>+SUM('Recaudación 23-25'!B7:G7)</f>
        <v>104153588.53999874</v>
      </c>
      <c r="J8" s="668">
        <v>49703</v>
      </c>
      <c r="K8" s="48">
        <f t="shared" ref="K8:K18" si="0">+(G8/F8)*100</f>
        <v>0</v>
      </c>
      <c r="L8" s="47">
        <f t="shared" ref="L8:L18" si="1">+(J8/(B8+C8))*100</f>
        <v>12.787080939652224</v>
      </c>
      <c r="M8" s="47">
        <f t="shared" ref="M8:M18" si="2">+(J8/B8)*100</f>
        <v>21.338903152128179</v>
      </c>
      <c r="N8" s="47">
        <f>+'Consumo de agua x tipo cliente '!C40</f>
        <v>12384071.705</v>
      </c>
      <c r="O8" s="499">
        <f>SUM('Clientes agua 23-25'!H7:M7)</f>
        <v>191438</v>
      </c>
      <c r="P8" s="694">
        <v>93097</v>
      </c>
      <c r="Q8" s="499">
        <v>50226</v>
      </c>
      <c r="R8" s="499">
        <f>+O8+P8</f>
        <v>284535</v>
      </c>
      <c r="S8" s="47">
        <f>+SUM('Facturación 23-25'!H7:M7)</f>
        <v>58302469.770018376</v>
      </c>
      <c r="T8" s="47"/>
      <c r="U8" s="45">
        <f>+'Facturación con mora'!O7</f>
        <v>114158088.75001478</v>
      </c>
      <c r="V8" s="45">
        <f>+SUM('Recaudación 23-25'!H7:M7)</f>
        <v>24971418.649999976</v>
      </c>
      <c r="W8" s="669">
        <v>25041</v>
      </c>
      <c r="X8" s="542">
        <f t="shared" ref="X8:X18" si="3">+(T8/S8)*100</f>
        <v>0</v>
      </c>
      <c r="Y8" s="542">
        <f t="shared" ref="Y8" si="4">+(W8/(O8+P8))*100</f>
        <v>8.8006747851758131</v>
      </c>
      <c r="Z8" s="542">
        <f t="shared" ref="Z8:Z18" si="5">+(W8/O8)*100</f>
        <v>13.080475140776649</v>
      </c>
      <c r="AA8" s="541">
        <f>+'Consumo de agua x tipo cliente '!C27</f>
        <v>8951012.0360000003</v>
      </c>
      <c r="AB8" s="653">
        <f>+O8+B8</f>
        <v>424360</v>
      </c>
      <c r="AC8" s="499">
        <f t="shared" ref="AC8:AC18" si="6">+P8+C8</f>
        <v>248872</v>
      </c>
      <c r="AD8" s="769">
        <f t="shared" ref="AD8:AD14" si="7">$D8+$Q8</f>
        <v>118264</v>
      </c>
      <c r="AE8" s="499">
        <f>+R8+E8</f>
        <v>673232</v>
      </c>
      <c r="AF8" s="45">
        <f>+FACTURACION!C5</f>
        <v>204635478.74997956</v>
      </c>
      <c r="AG8" s="45">
        <f t="shared" ref="AG8:AG18" si="8">+G8+T8</f>
        <v>0</v>
      </c>
      <c r="AH8" s="45">
        <f>+FACTURACION!B5</f>
        <v>295554336.9099952</v>
      </c>
      <c r="AI8" s="45">
        <f>+'Recaudación 23-25'!N7</f>
        <v>129125007.1899987</v>
      </c>
      <c r="AJ8" s="653">
        <v>74744</v>
      </c>
      <c r="AK8" s="49">
        <f>+(AG8/AF8)*100</f>
        <v>0</v>
      </c>
      <c r="AL8" s="49">
        <f t="shared" ref="AL8:AL18" si="9">+(AJ8/(AB8+AC8))*100</f>
        <v>11.102264895310977</v>
      </c>
      <c r="AM8" s="49">
        <f t="shared" ref="AM8:AM18" si="10">+(AJ8/AB8)*100</f>
        <v>17.613347158073335</v>
      </c>
      <c r="AN8" s="45">
        <f t="shared" ref="AN8:AN13" si="11">+AA8+N8</f>
        <v>21335083.741</v>
      </c>
      <c r="AO8" s="47">
        <f>+AG8/31</f>
        <v>0</v>
      </c>
      <c r="AP8" s="45">
        <f>+AG8/AQ8</f>
        <v>0</v>
      </c>
      <c r="AQ8" s="499">
        <v>5067</v>
      </c>
    </row>
    <row r="9" spans="1:44">
      <c r="A9" s="1">
        <v>45717</v>
      </c>
      <c r="B9" s="653">
        <f>SUM('Clientes agua 23-25'!B8:G8)</f>
        <v>232946</v>
      </c>
      <c r="C9" s="696">
        <f>+'UNIDADES AGUA 23 23-25'!C24</f>
        <v>155775</v>
      </c>
      <c r="D9" s="499">
        <v>68055</v>
      </c>
      <c r="E9" s="653">
        <f t="shared" ref="E9:E18" si="12">+SUM(B9:C9)</f>
        <v>388721</v>
      </c>
      <c r="F9" s="45">
        <f>+'Facturación 23-25'!P8</f>
        <v>265500975.40001041</v>
      </c>
      <c r="G9" s="47"/>
      <c r="H9" s="45">
        <f>+'Facturación con mora'!P8</f>
        <v>356209192.530007</v>
      </c>
      <c r="I9" s="47">
        <f>+SUM('Recaudación 23-25'!B8:G8)</f>
        <v>102936139.43999034</v>
      </c>
      <c r="J9" s="668">
        <v>68859</v>
      </c>
      <c r="K9" s="48">
        <f t="shared" si="0"/>
        <v>0</v>
      </c>
      <c r="L9" s="47">
        <f t="shared" si="1"/>
        <v>17.714247493703709</v>
      </c>
      <c r="M9" s="47">
        <f t="shared" si="2"/>
        <v>29.560069715728112</v>
      </c>
      <c r="N9" s="47">
        <f>+'Consumo de agua x tipo cliente '!D40</f>
        <v>30087235.870333992</v>
      </c>
      <c r="O9" s="499">
        <f>SUM('Clientes agua 23-25'!H8:M8)</f>
        <v>191405</v>
      </c>
      <c r="P9" s="694">
        <v>93097</v>
      </c>
      <c r="Q9" s="499">
        <v>50219</v>
      </c>
      <c r="R9" s="499">
        <f t="shared" ref="R9:R18" si="13">+O9+P9</f>
        <v>284502</v>
      </c>
      <c r="S9" s="47">
        <f>+SUM('Facturación 23-25'!H8:M8)</f>
        <v>57445424.430012926</v>
      </c>
      <c r="T9" s="47"/>
      <c r="U9" s="45">
        <f>+'Facturación con mora'!O8</f>
        <v>113296220.03000695</v>
      </c>
      <c r="V9" s="45">
        <f>+SUM('Recaudación 23-25'!H8:M8)</f>
        <v>34294955.780002147</v>
      </c>
      <c r="W9" s="669">
        <v>52361</v>
      </c>
      <c r="X9" s="542">
        <f t="shared" si="3"/>
        <v>0</v>
      </c>
      <c r="Y9" s="542">
        <f t="shared" ref="Y9:Y14" si="14">+(W9/(O9+P9))*100</f>
        <v>18.404440039085841</v>
      </c>
      <c r="Z9" s="542">
        <f t="shared" si="5"/>
        <v>27.356129672683576</v>
      </c>
      <c r="AA9" s="541">
        <f>+'Consumo de agua x tipo cliente '!D27</f>
        <v>10019128.740333999</v>
      </c>
      <c r="AB9" s="653">
        <f>+O9+B9</f>
        <v>424351</v>
      </c>
      <c r="AC9" s="499">
        <f t="shared" si="6"/>
        <v>248872</v>
      </c>
      <c r="AD9" s="769">
        <f t="shared" si="7"/>
        <v>118274</v>
      </c>
      <c r="AE9" s="499">
        <f t="shared" ref="AE9:AE18" si="15">+R9+E9</f>
        <v>673223</v>
      </c>
      <c r="AF9" s="45">
        <f>+FACTURACION!C6</f>
        <v>265500975.39985025</v>
      </c>
      <c r="AG9" s="45">
        <f t="shared" si="8"/>
        <v>0</v>
      </c>
      <c r="AH9" s="45">
        <f>+FACTURACION!B6</f>
        <v>356209192.52986407</v>
      </c>
      <c r="AI9" s="45">
        <f>+'Recaudación 23-25'!N8</f>
        <v>137231095.21999249</v>
      </c>
      <c r="AJ9" s="653">
        <v>121220</v>
      </c>
      <c r="AK9" s="49">
        <f t="shared" ref="AK9:AK18" si="16">+(AG9/AF9)*100</f>
        <v>0</v>
      </c>
      <c r="AL9" s="49">
        <f t="shared" si="9"/>
        <v>18.005920772166132</v>
      </c>
      <c r="AM9" s="49">
        <f t="shared" si="10"/>
        <v>28.565974865147016</v>
      </c>
      <c r="AN9" s="45">
        <f t="shared" si="11"/>
        <v>40106364.610667989</v>
      </c>
      <c r="AO9" s="47">
        <f t="shared" ref="AO9:AO18" si="17">+AG9/31</f>
        <v>0</v>
      </c>
      <c r="AP9" s="45">
        <f t="shared" ref="AP9:AP18" si="18">+AG9/AQ9</f>
        <v>0</v>
      </c>
      <c r="AQ9" s="499">
        <v>5043</v>
      </c>
    </row>
    <row r="10" spans="1:44">
      <c r="A10" s="1">
        <v>45748</v>
      </c>
      <c r="B10" s="653">
        <f>SUM('Clientes agua 23-25'!B9:G9)</f>
        <v>230575</v>
      </c>
      <c r="C10" s="696">
        <f>+'UNIDADES AGUA 23 23-25'!C25</f>
        <v>155775</v>
      </c>
      <c r="D10" s="499">
        <v>67756</v>
      </c>
      <c r="E10" s="653">
        <f>+SUM(B10:C10)</f>
        <v>386350</v>
      </c>
      <c r="F10" s="45">
        <f>+'Facturación 23-25'!P9</f>
        <v>192510380.10002229</v>
      </c>
      <c r="G10" s="47"/>
      <c r="H10" s="45">
        <f>+'Facturación con mora'!P9</f>
        <v>284192131.14002287</v>
      </c>
      <c r="I10" s="47">
        <f>+SUM('Recaudación 23-25'!B9:G9)</f>
        <v>85179503.519984707</v>
      </c>
      <c r="J10" s="499">
        <v>59387</v>
      </c>
      <c r="K10" s="48">
        <f t="shared" si="0"/>
        <v>0</v>
      </c>
      <c r="L10" s="47">
        <f t="shared" si="1"/>
        <v>15.371295457486736</v>
      </c>
      <c r="M10" s="47">
        <f t="shared" si="2"/>
        <v>25.756044670931367</v>
      </c>
      <c r="N10" s="47">
        <f>+'Consumo de agua x tipo cliente '!E40</f>
        <v>22716983.847266994</v>
      </c>
      <c r="O10" s="499">
        <f>SUM('Clientes agua 23-25'!H9:M9)</f>
        <v>192624</v>
      </c>
      <c r="P10" s="694">
        <v>93097</v>
      </c>
      <c r="Q10" s="499">
        <v>50213</v>
      </c>
      <c r="R10" s="499">
        <f t="shared" si="13"/>
        <v>285721</v>
      </c>
      <c r="S10" s="47">
        <f>+SUM('Facturación 23-25'!H9:M9)</f>
        <v>51847452.840010934</v>
      </c>
      <c r="T10" s="47"/>
      <c r="U10" s="45">
        <f>+'Facturación con mora'!O9</f>
        <v>108320219.59000905</v>
      </c>
      <c r="V10" s="45">
        <f>+SUM('Recaudación 23-25'!H9:M9)</f>
        <v>30742246.780002486</v>
      </c>
      <c r="W10" s="669">
        <v>43375</v>
      </c>
      <c r="X10" s="542">
        <f t="shared" si="3"/>
        <v>0</v>
      </c>
      <c r="Y10" s="542">
        <f t="shared" si="14"/>
        <v>15.180893249008648</v>
      </c>
      <c r="Z10" s="542">
        <f t="shared" si="5"/>
        <v>22.517962455353434</v>
      </c>
      <c r="AA10" s="541">
        <f>+'Consumo de agua x tipo cliente '!E27</f>
        <v>10076562.570466999</v>
      </c>
      <c r="AB10" s="653">
        <f t="shared" ref="AB10:AB18" si="19">+O10+B10</f>
        <v>423199</v>
      </c>
      <c r="AC10" s="499">
        <f t="shared" si="6"/>
        <v>248872</v>
      </c>
      <c r="AD10" s="769">
        <f t="shared" si="7"/>
        <v>117969</v>
      </c>
      <c r="AE10" s="499">
        <f t="shared" si="15"/>
        <v>672071</v>
      </c>
      <c r="AF10" s="45">
        <f>+FACTURACION!C7</f>
        <v>192510380.09994528</v>
      </c>
      <c r="AG10" s="45"/>
      <c r="AH10" s="45">
        <f>+FACTURACION!B7</f>
        <v>284192131.13992584</v>
      </c>
      <c r="AI10" s="45">
        <f>+'Recaudación 23-25'!N9</f>
        <v>115921750.2999872</v>
      </c>
      <c r="AJ10" s="653">
        <f>+J10+W10</f>
        <v>102762</v>
      </c>
      <c r="AK10" s="49">
        <f t="shared" si="16"/>
        <v>0</v>
      </c>
      <c r="AL10" s="49">
        <f t="shared" si="9"/>
        <v>15.290348787553695</v>
      </c>
      <c r="AM10" s="49">
        <f t="shared" si="10"/>
        <v>24.282193483443958</v>
      </c>
      <c r="AN10" s="45">
        <f t="shared" si="11"/>
        <v>32793546.417733993</v>
      </c>
      <c r="AO10" s="47"/>
      <c r="AP10" s="45"/>
      <c r="AQ10" s="499">
        <v>5021</v>
      </c>
    </row>
    <row r="11" spans="1:44">
      <c r="A11" s="1">
        <v>45778</v>
      </c>
      <c r="B11" s="653">
        <f>SUM('Clientes agua 23-25'!B10:G10)</f>
        <v>233454</v>
      </c>
      <c r="C11" s="696">
        <f>+'UNIDADES AGUA 23 23-25'!C26</f>
        <v>155775</v>
      </c>
      <c r="D11" s="499">
        <v>68035</v>
      </c>
      <c r="E11" s="653">
        <f t="shared" si="12"/>
        <v>389229</v>
      </c>
      <c r="F11" s="45">
        <f>+'Facturación 23-25'!P10</f>
        <v>192091195.76002157</v>
      </c>
      <c r="G11" s="47"/>
      <c r="H11" s="45">
        <f>+'Facturación con mora'!P10</f>
        <v>288135467.74003357</v>
      </c>
      <c r="I11" s="47">
        <f>+SUM('Recaudación 23-25'!B10:G10)</f>
        <v>106227699.46999925</v>
      </c>
      <c r="J11" s="668">
        <v>78576</v>
      </c>
      <c r="K11" s="48">
        <f t="shared" si="0"/>
        <v>0</v>
      </c>
      <c r="L11" s="47">
        <f t="shared" si="1"/>
        <v>20.187601643248577</v>
      </c>
      <c r="M11" s="47">
        <f t="shared" si="2"/>
        <v>33.658022565473281</v>
      </c>
      <c r="N11" s="47">
        <f>+'Consumo de agua x tipo cliente '!F40</f>
        <v>22639934.194000002</v>
      </c>
      <c r="O11" s="499">
        <f>SUM('Clientes agua 23-25'!H10:M10)</f>
        <v>192408</v>
      </c>
      <c r="P11" s="694">
        <v>93097</v>
      </c>
      <c r="Q11" s="499">
        <v>50218</v>
      </c>
      <c r="R11" s="499">
        <f t="shared" si="13"/>
        <v>285505</v>
      </c>
      <c r="S11" s="47">
        <f>+SUM('Facturación 23-25'!H10:M10)</f>
        <v>52206991.640010916</v>
      </c>
      <c r="T11" s="47"/>
      <c r="U11" s="45">
        <f>+'Facturación con mora'!O10</f>
        <v>109761191.81001866</v>
      </c>
      <c r="V11" s="45">
        <f>+SUM('Recaudación 23-25'!H10:M10)</f>
        <v>18687108.060001269</v>
      </c>
      <c r="W11" s="669">
        <v>30516</v>
      </c>
      <c r="X11" s="542">
        <f t="shared" si="3"/>
        <v>0</v>
      </c>
      <c r="Y11" s="542">
        <f t="shared" si="14"/>
        <v>10.68842927444353</v>
      </c>
      <c r="Z11" s="542">
        <f t="shared" si="5"/>
        <v>15.860047399276537</v>
      </c>
      <c r="AA11" s="541">
        <f>+'Consumo de agua x tipo cliente '!F27</f>
        <v>10071054.481999999</v>
      </c>
      <c r="AB11" s="653">
        <f t="shared" si="19"/>
        <v>425862</v>
      </c>
      <c r="AC11" s="499">
        <f t="shared" si="6"/>
        <v>248872</v>
      </c>
      <c r="AD11" s="769">
        <f t="shared" si="7"/>
        <v>118253</v>
      </c>
      <c r="AE11" s="499">
        <f t="shared" si="15"/>
        <v>674734</v>
      </c>
      <c r="AF11" s="45">
        <f>+FACTURACION!C8</f>
        <v>192091195.75994456</v>
      </c>
      <c r="AG11" s="45"/>
      <c r="AH11" s="45">
        <f>+FACTURACION!B8</f>
        <v>288135467.73994803</v>
      </c>
      <c r="AI11" s="45">
        <f>+'Recaudación 23-25'!N10</f>
        <v>124914807.53000051</v>
      </c>
      <c r="AJ11" s="653">
        <f t="shared" ref="AJ11:AJ18" si="20">+J11+W11</f>
        <v>109092</v>
      </c>
      <c r="AK11" s="49">
        <f t="shared" si="16"/>
        <v>0</v>
      </c>
      <c r="AL11" s="49">
        <f t="shared" si="9"/>
        <v>16.16814922621359</v>
      </c>
      <c r="AM11" s="49">
        <f t="shared" si="10"/>
        <v>25.616749087732643</v>
      </c>
      <c r="AN11" s="45">
        <f t="shared" si="11"/>
        <v>32710988.675999999</v>
      </c>
      <c r="AO11" s="47"/>
      <c r="AP11" s="45"/>
      <c r="AQ11" s="499">
        <v>4991</v>
      </c>
    </row>
    <row r="12" spans="1:44">
      <c r="A12" s="1">
        <v>45809</v>
      </c>
      <c r="B12" s="653">
        <f>SUM('Clientes agua 23-25'!B11:G11)</f>
        <v>233448</v>
      </c>
      <c r="C12" s="696">
        <f>+'UNIDADES AGUA 23 23-25'!C27</f>
        <v>155775</v>
      </c>
      <c r="D12" s="499">
        <v>68024</v>
      </c>
      <c r="E12" s="653">
        <f t="shared" si="12"/>
        <v>389223</v>
      </c>
      <c r="F12" s="45">
        <f>+'Facturación 23-25'!P11</f>
        <v>193498114.52002168</v>
      </c>
      <c r="G12" s="47"/>
      <c r="H12" s="45">
        <f>+'Facturación con mora'!P11</f>
        <v>290876889.35001093</v>
      </c>
      <c r="I12" s="47">
        <f>+SUM('Recaudación 23-25'!B11:G11)</f>
        <v>115954327.63999753</v>
      </c>
      <c r="J12" s="690">
        <v>128711</v>
      </c>
      <c r="K12" s="48">
        <f t="shared" si="0"/>
        <v>0</v>
      </c>
      <c r="L12" s="47">
        <f t="shared" si="1"/>
        <v>33.068703545268399</v>
      </c>
      <c r="M12" s="47">
        <f t="shared" si="2"/>
        <v>55.134762345361708</v>
      </c>
      <c r="N12" s="47">
        <f>+'Consumo de agua x tipo cliente '!G40</f>
        <v>22608750.687799998</v>
      </c>
      <c r="O12" s="499">
        <f>SUM('Clientes agua 23-25'!H11:M11)</f>
        <v>192473</v>
      </c>
      <c r="P12" s="694">
        <v>93097</v>
      </c>
      <c r="Q12" s="499">
        <v>50261</v>
      </c>
      <c r="R12" s="499">
        <f t="shared" si="13"/>
        <v>285570</v>
      </c>
      <c r="S12" s="47">
        <f>+SUM('Facturación 23-25'!H11:M11)</f>
        <v>52270550.22001107</v>
      </c>
      <c r="T12" s="47"/>
      <c r="U12" s="45">
        <f>+'Facturación con mora'!O11</f>
        <v>110232027.18001123</v>
      </c>
      <c r="V12" s="45">
        <f>+SUM('Recaudación 23-25'!H11:M11)</f>
        <v>11938444.760000071</v>
      </c>
      <c r="W12" s="691">
        <v>36420</v>
      </c>
      <c r="X12" s="542">
        <f t="shared" si="3"/>
        <v>0</v>
      </c>
      <c r="Y12" s="542">
        <f t="shared" si="14"/>
        <v>12.753440487446161</v>
      </c>
      <c r="Z12" s="542">
        <f t="shared" si="5"/>
        <v>18.922134533155301</v>
      </c>
      <c r="AA12" s="541">
        <f>+'Consumo de agua x tipo cliente '!G27</f>
        <v>10063616.338000001</v>
      </c>
      <c r="AB12" s="653">
        <f t="shared" si="19"/>
        <v>425921</v>
      </c>
      <c r="AC12" s="499">
        <f t="shared" si="6"/>
        <v>248872</v>
      </c>
      <c r="AD12" s="769">
        <f>$D12+$Q12</f>
        <v>118285</v>
      </c>
      <c r="AE12" s="499">
        <f t="shared" si="15"/>
        <v>674793</v>
      </c>
      <c r="AF12" s="45">
        <f>+FACTURACION!C9</f>
        <v>193498114.51994413</v>
      </c>
      <c r="AG12" s="45"/>
      <c r="AH12" s="45">
        <f>+FACTURACION!B9</f>
        <v>290876889.34992987</v>
      </c>
      <c r="AI12" s="45">
        <f>+'Recaudación 23-25'!N11</f>
        <v>127892772.39999759</v>
      </c>
      <c r="AJ12" s="653">
        <f t="shared" si="20"/>
        <v>165131</v>
      </c>
      <c r="AK12" s="49">
        <f t="shared" si="16"/>
        <v>0</v>
      </c>
      <c r="AL12" s="49">
        <f t="shared" si="9"/>
        <v>24.471356401148203</v>
      </c>
      <c r="AM12" s="49">
        <f t="shared" si="10"/>
        <v>38.77033534387833</v>
      </c>
      <c r="AN12" s="45">
        <f t="shared" si="11"/>
        <v>32672367.025799997</v>
      </c>
      <c r="AO12" s="47"/>
      <c r="AP12" s="45"/>
      <c r="AQ12" s="499">
        <v>5039</v>
      </c>
    </row>
    <row r="13" spans="1:44">
      <c r="A13" s="1">
        <v>45839</v>
      </c>
      <c r="B13" s="653">
        <f>SUM('Clientes agua 23-25'!B12:G12)</f>
        <v>0</v>
      </c>
      <c r="C13" s="696"/>
      <c r="D13" s="499"/>
      <c r="E13" s="653">
        <f t="shared" si="12"/>
        <v>0</v>
      </c>
      <c r="F13" s="45">
        <f>+'Facturación 23-25'!P12</f>
        <v>0</v>
      </c>
      <c r="G13" s="47">
        <f>SUM('Recaudación 23-25'!B12:G12)</f>
        <v>0</v>
      </c>
      <c r="H13" s="45">
        <f>+'Facturación con mora'!P12</f>
        <v>0</v>
      </c>
      <c r="I13" s="47">
        <f>+SUM('Recaudación 23-25'!B12:G12)</f>
        <v>0</v>
      </c>
      <c r="J13" s="499"/>
      <c r="K13" s="48" t="e">
        <f t="shared" si="0"/>
        <v>#DIV/0!</v>
      </c>
      <c r="L13" s="47" t="e">
        <f t="shared" si="1"/>
        <v>#DIV/0!</v>
      </c>
      <c r="M13" s="47" t="e">
        <f t="shared" si="2"/>
        <v>#DIV/0!</v>
      </c>
      <c r="N13" s="47">
        <f>'Consumo de agua x tipo cliente '!H40</f>
        <v>0</v>
      </c>
      <c r="O13" s="499">
        <f>SUM('Clientes agua 23-25'!H12:M12)</f>
        <v>0</v>
      </c>
      <c r="P13" s="694"/>
      <c r="Q13" s="499"/>
      <c r="R13" s="499">
        <f t="shared" si="13"/>
        <v>0</v>
      </c>
      <c r="S13" s="47">
        <f>+SUM('Facturación 23-25'!H12:M12)</f>
        <v>0</v>
      </c>
      <c r="T13" s="47">
        <f>SUM('Recaudación 23-25'!H12:M12)</f>
        <v>0</v>
      </c>
      <c r="U13" s="45">
        <f>+'Facturación con mora'!O12</f>
        <v>0</v>
      </c>
      <c r="V13" s="45">
        <f>+SUM('Recaudación 23-25'!H12:M12)</f>
        <v>0</v>
      </c>
      <c r="W13" s="499"/>
      <c r="X13" s="542" t="e">
        <f t="shared" si="3"/>
        <v>#DIV/0!</v>
      </c>
      <c r="Y13" s="542" t="e">
        <f t="shared" si="14"/>
        <v>#DIV/0!</v>
      </c>
      <c r="Z13" s="542" t="e">
        <f t="shared" si="5"/>
        <v>#DIV/0!</v>
      </c>
      <c r="AA13" s="47">
        <f>'Consumo de agua x tipo cliente '!H27</f>
        <v>0</v>
      </c>
      <c r="AB13" s="653">
        <f t="shared" si="19"/>
        <v>0</v>
      </c>
      <c r="AC13" s="499">
        <f t="shared" si="6"/>
        <v>0</v>
      </c>
      <c r="AD13" s="769">
        <f t="shared" si="7"/>
        <v>0</v>
      </c>
      <c r="AE13" s="499">
        <f t="shared" si="15"/>
        <v>0</v>
      </c>
      <c r="AF13" s="45">
        <f>+FACTURACION!C10</f>
        <v>0</v>
      </c>
      <c r="AG13" s="45">
        <f t="shared" si="8"/>
        <v>0</v>
      </c>
      <c r="AH13" s="45">
        <f>+FACTURACION!B10</f>
        <v>0</v>
      </c>
      <c r="AI13" s="45">
        <f>+'Recaudación 23-25'!N12</f>
        <v>0</v>
      </c>
      <c r="AJ13" s="653">
        <f t="shared" si="20"/>
        <v>0</v>
      </c>
      <c r="AK13" s="49" t="e">
        <f t="shared" si="16"/>
        <v>#DIV/0!</v>
      </c>
      <c r="AL13" s="49" t="e">
        <f t="shared" si="9"/>
        <v>#DIV/0!</v>
      </c>
      <c r="AM13" s="49" t="e">
        <f t="shared" si="10"/>
        <v>#DIV/0!</v>
      </c>
      <c r="AN13" s="45">
        <f t="shared" si="11"/>
        <v>0</v>
      </c>
      <c r="AO13" s="47">
        <f t="shared" si="17"/>
        <v>0</v>
      </c>
      <c r="AP13" s="45" t="e">
        <f t="shared" si="18"/>
        <v>#DIV/0!</v>
      </c>
      <c r="AQ13" s="499"/>
    </row>
    <row r="14" spans="1:44">
      <c r="A14" s="1">
        <v>45870</v>
      </c>
      <c r="B14" s="653">
        <f>SUM('Clientes agua 23-25'!B13:G13)</f>
        <v>0</v>
      </c>
      <c r="C14" s="696"/>
      <c r="D14" s="499"/>
      <c r="E14" s="653">
        <f t="shared" si="12"/>
        <v>0</v>
      </c>
      <c r="F14" s="45">
        <f>+'Facturación 23-25'!P13</f>
        <v>0</v>
      </c>
      <c r="G14" s="47"/>
      <c r="H14" s="45">
        <f>+'Facturación con mora'!P13</f>
        <v>0</v>
      </c>
      <c r="I14" s="47">
        <f>+SUM('Recaudación 23-25'!B13:G13)</f>
        <v>0</v>
      </c>
      <c r="J14" s="722"/>
      <c r="K14" s="48" t="e">
        <f t="shared" si="0"/>
        <v>#DIV/0!</v>
      </c>
      <c r="L14" s="47" t="e">
        <f t="shared" si="1"/>
        <v>#DIV/0!</v>
      </c>
      <c r="M14" s="47" t="e">
        <f t="shared" si="2"/>
        <v>#DIV/0!</v>
      </c>
      <c r="N14" s="47">
        <f>'Consumo de agua x tipo cliente '!I40</f>
        <v>0</v>
      </c>
      <c r="O14" s="499">
        <f>SUM('Clientes agua 23-25'!H13:M13)</f>
        <v>0</v>
      </c>
      <c r="P14" s="694"/>
      <c r="Q14" s="499"/>
      <c r="R14" s="499">
        <f t="shared" si="13"/>
        <v>0</v>
      </c>
      <c r="S14" s="47">
        <f>+SUM('Facturación 23-25'!H13:M13)</f>
        <v>0</v>
      </c>
      <c r="T14" s="47">
        <f>SUM('Recaudación 23-25'!H13:M13)</f>
        <v>0</v>
      </c>
      <c r="U14" s="45">
        <f>+'Facturación con mora'!O13</f>
        <v>0</v>
      </c>
      <c r="V14" s="45">
        <f>+SUM('Recaudación 23-25'!H13:M13)</f>
        <v>0</v>
      </c>
      <c r="W14" s="725"/>
      <c r="X14" s="542" t="e">
        <f t="shared" si="3"/>
        <v>#DIV/0!</v>
      </c>
      <c r="Y14" s="542" t="e">
        <f t="shared" si="14"/>
        <v>#DIV/0!</v>
      </c>
      <c r="Z14" s="542" t="e">
        <f t="shared" si="5"/>
        <v>#DIV/0!</v>
      </c>
      <c r="AA14" s="47">
        <f>'Consumo de agua x tipo cliente '!I27</f>
        <v>0</v>
      </c>
      <c r="AB14" s="653">
        <f t="shared" si="19"/>
        <v>0</v>
      </c>
      <c r="AC14" s="499">
        <f t="shared" si="6"/>
        <v>0</v>
      </c>
      <c r="AD14" s="769">
        <f t="shared" si="7"/>
        <v>0</v>
      </c>
      <c r="AE14" s="499">
        <f t="shared" si="15"/>
        <v>0</v>
      </c>
      <c r="AF14" s="45">
        <f>+FACTURACION!C11</f>
        <v>0</v>
      </c>
      <c r="AG14" s="45">
        <f t="shared" si="8"/>
        <v>0</v>
      </c>
      <c r="AH14" s="45">
        <f>+FACTURACION!B11</f>
        <v>0</v>
      </c>
      <c r="AI14" s="45">
        <f>+'Recaudación 23-25'!N13</f>
        <v>0</v>
      </c>
      <c r="AJ14" s="653">
        <f t="shared" si="20"/>
        <v>0</v>
      </c>
      <c r="AK14" s="49" t="e">
        <f t="shared" si="16"/>
        <v>#DIV/0!</v>
      </c>
      <c r="AL14" s="49" t="e">
        <f t="shared" si="9"/>
        <v>#DIV/0!</v>
      </c>
      <c r="AM14" s="49" t="e">
        <f t="shared" si="10"/>
        <v>#DIV/0!</v>
      </c>
      <c r="AN14" s="45">
        <f>+AA14+N14</f>
        <v>0</v>
      </c>
      <c r="AO14" s="47">
        <f t="shared" si="17"/>
        <v>0</v>
      </c>
      <c r="AP14" s="45" t="e">
        <f t="shared" si="18"/>
        <v>#DIV/0!</v>
      </c>
      <c r="AQ14" s="499"/>
    </row>
    <row r="15" spans="1:44">
      <c r="A15" s="1">
        <v>45901</v>
      </c>
      <c r="B15" s="653">
        <f>SUM('Clientes agua 23-25'!B14:G14)</f>
        <v>0</v>
      </c>
      <c r="C15" s="696"/>
      <c r="D15" s="499"/>
      <c r="E15" s="653">
        <f t="shared" si="12"/>
        <v>0</v>
      </c>
      <c r="F15" s="45">
        <f>+'Facturación 23-25'!P14</f>
        <v>0</v>
      </c>
      <c r="G15" s="47"/>
      <c r="H15" s="45">
        <f>+'Facturación con mora'!P14</f>
        <v>0</v>
      </c>
      <c r="I15" s="47">
        <f>+SUM('Recaudación 23-25'!B14:G14)</f>
        <v>0</v>
      </c>
      <c r="J15" s="499"/>
      <c r="K15" s="48" t="e">
        <f t="shared" si="0"/>
        <v>#DIV/0!</v>
      </c>
      <c r="L15" s="47" t="e">
        <f t="shared" si="1"/>
        <v>#DIV/0!</v>
      </c>
      <c r="M15" s="47" t="e">
        <f t="shared" si="2"/>
        <v>#DIV/0!</v>
      </c>
      <c r="N15" s="47">
        <f>'Consumo de agua x tipo cliente '!J40</f>
        <v>0</v>
      </c>
      <c r="O15" s="499">
        <f>SUM('Clientes agua 23-25'!H14:M14)</f>
        <v>0</v>
      </c>
      <c r="P15" s="694"/>
      <c r="Q15" s="741"/>
      <c r="R15" s="499">
        <f t="shared" si="13"/>
        <v>0</v>
      </c>
      <c r="S15" s="47">
        <f>+SUM('Facturación 23-25'!H14:M14)</f>
        <v>0</v>
      </c>
      <c r="T15" s="47">
        <f>SUM('Recaudación 23-25'!H14:M14)</f>
        <v>0</v>
      </c>
      <c r="U15" s="45">
        <f>+'Facturación con mora'!O14</f>
        <v>0</v>
      </c>
      <c r="V15" s="45">
        <f>+SUM('Recaudación 23-25'!H14:M14)</f>
        <v>0</v>
      </c>
      <c r="W15" s="499"/>
      <c r="X15" s="542" t="e">
        <f t="shared" si="3"/>
        <v>#DIV/0!</v>
      </c>
      <c r="Y15" s="542" t="e">
        <f>+(W15/(O15+P15))*100</f>
        <v>#DIV/0!</v>
      </c>
      <c r="Z15" s="542" t="e">
        <f t="shared" si="5"/>
        <v>#DIV/0!</v>
      </c>
      <c r="AA15" s="47">
        <f>'Consumo de agua x tipo cliente '!J27</f>
        <v>0</v>
      </c>
      <c r="AB15" s="653">
        <f t="shared" si="19"/>
        <v>0</v>
      </c>
      <c r="AC15" s="499">
        <f t="shared" si="6"/>
        <v>0</v>
      </c>
      <c r="AD15" s="769">
        <f>$D15+$Q15</f>
        <v>0</v>
      </c>
      <c r="AE15" s="499">
        <f t="shared" si="15"/>
        <v>0</v>
      </c>
      <c r="AF15" s="45">
        <f>+FACTURACION!C12</f>
        <v>0</v>
      </c>
      <c r="AG15" s="45">
        <f t="shared" si="8"/>
        <v>0</v>
      </c>
      <c r="AH15" s="45">
        <f>+FACTURACION!B12</f>
        <v>0</v>
      </c>
      <c r="AI15" s="45">
        <f>+'Recaudación 23-25'!N14</f>
        <v>0</v>
      </c>
      <c r="AJ15" s="653">
        <f t="shared" si="20"/>
        <v>0</v>
      </c>
      <c r="AK15" s="49" t="e">
        <f t="shared" si="16"/>
        <v>#DIV/0!</v>
      </c>
      <c r="AL15" s="49" t="e">
        <f t="shared" si="9"/>
        <v>#DIV/0!</v>
      </c>
      <c r="AM15" s="49" t="e">
        <f t="shared" si="10"/>
        <v>#DIV/0!</v>
      </c>
      <c r="AN15" s="45">
        <f>+AA15+N15</f>
        <v>0</v>
      </c>
      <c r="AO15" s="47">
        <f t="shared" si="17"/>
        <v>0</v>
      </c>
      <c r="AP15" s="45" t="e">
        <f t="shared" si="18"/>
        <v>#DIV/0!</v>
      </c>
      <c r="AQ15" s="499"/>
    </row>
    <row r="16" spans="1:44">
      <c r="A16" s="1">
        <v>45931</v>
      </c>
      <c r="B16" s="653">
        <f>SUM('Clientes agua 23-25'!B15:G15)</f>
        <v>0</v>
      </c>
      <c r="C16" s="696"/>
      <c r="D16" s="499"/>
      <c r="E16" s="653">
        <f t="shared" si="12"/>
        <v>0</v>
      </c>
      <c r="F16" s="45">
        <f>+'Facturación 23-25'!P15</f>
        <v>0</v>
      </c>
      <c r="G16" s="45"/>
      <c r="H16" s="45">
        <f>+'Facturación con mora'!P15</f>
        <v>0</v>
      </c>
      <c r="I16" s="47">
        <f>+SUM('Recaudación 23-25'!B15:G15)</f>
        <v>0</v>
      </c>
      <c r="J16" s="653"/>
      <c r="K16" s="48" t="e">
        <f t="shared" si="0"/>
        <v>#DIV/0!</v>
      </c>
      <c r="L16" s="47" t="e">
        <f t="shared" si="1"/>
        <v>#DIV/0!</v>
      </c>
      <c r="M16" s="47" t="e">
        <f t="shared" si="2"/>
        <v>#DIV/0!</v>
      </c>
      <c r="N16" s="47">
        <f>'Consumo de agua x tipo cliente '!K40</f>
        <v>0</v>
      </c>
      <c r="O16" s="499">
        <f>SUM('Clientes agua 23-25'!H15:M15)</f>
        <v>0</v>
      </c>
      <c r="P16" s="694"/>
      <c r="Q16" s="499"/>
      <c r="R16" s="499">
        <f t="shared" si="13"/>
        <v>0</v>
      </c>
      <c r="S16" s="47">
        <f>+SUM('Facturación 23-25'!H15:M15)</f>
        <v>0</v>
      </c>
      <c r="T16" s="47">
        <f>SUM('Recaudación 23-25'!H15:M15)</f>
        <v>0</v>
      </c>
      <c r="U16" s="45">
        <f>+'Facturación con mora'!O15</f>
        <v>0</v>
      </c>
      <c r="V16" s="45">
        <f>+SUM('Recaudación 23-25'!H15:M15)</f>
        <v>0</v>
      </c>
      <c r="W16" s="499"/>
      <c r="X16" s="542" t="e">
        <f t="shared" si="3"/>
        <v>#DIV/0!</v>
      </c>
      <c r="Y16" s="542" t="e">
        <f>+(W16/(O16+P16))*100</f>
        <v>#DIV/0!</v>
      </c>
      <c r="Z16" s="542" t="e">
        <f t="shared" si="5"/>
        <v>#DIV/0!</v>
      </c>
      <c r="AA16" s="47">
        <f>'Consumo de agua x tipo cliente '!K27</f>
        <v>0</v>
      </c>
      <c r="AB16" s="653">
        <f t="shared" si="19"/>
        <v>0</v>
      </c>
      <c r="AC16" s="499">
        <f t="shared" si="6"/>
        <v>0</v>
      </c>
      <c r="AD16" s="769">
        <f>$D16+$Q16</f>
        <v>0</v>
      </c>
      <c r="AE16" s="499">
        <f t="shared" si="15"/>
        <v>0</v>
      </c>
      <c r="AF16" s="45">
        <f>+FACTURACION!C13</f>
        <v>0</v>
      </c>
      <c r="AG16" s="45">
        <f t="shared" si="8"/>
        <v>0</v>
      </c>
      <c r="AH16" s="45">
        <f>+FACTURACION!B13</f>
        <v>0</v>
      </c>
      <c r="AI16" s="45">
        <f>+'Recaudación 23-25'!N15</f>
        <v>0</v>
      </c>
      <c r="AJ16" s="653">
        <f t="shared" si="20"/>
        <v>0</v>
      </c>
      <c r="AK16" s="49" t="e">
        <f t="shared" si="16"/>
        <v>#DIV/0!</v>
      </c>
      <c r="AL16" s="49" t="e">
        <f t="shared" si="9"/>
        <v>#DIV/0!</v>
      </c>
      <c r="AM16" s="49" t="e">
        <f t="shared" si="10"/>
        <v>#DIV/0!</v>
      </c>
      <c r="AN16" s="45">
        <f>+AA16+N16</f>
        <v>0</v>
      </c>
      <c r="AO16" s="47">
        <f t="shared" si="17"/>
        <v>0</v>
      </c>
      <c r="AP16" s="45" t="e">
        <f t="shared" si="18"/>
        <v>#DIV/0!</v>
      </c>
      <c r="AQ16" s="499"/>
    </row>
    <row r="17" spans="1:43">
      <c r="A17" s="1">
        <v>45962</v>
      </c>
      <c r="B17" s="653">
        <f>SUM('Clientes agua 23-25'!B16:G16)</f>
        <v>0</v>
      </c>
      <c r="C17" s="696"/>
      <c r="D17" s="499"/>
      <c r="E17" s="653">
        <f t="shared" si="12"/>
        <v>0</v>
      </c>
      <c r="F17" s="45">
        <f>+'Facturación 23-25'!P16</f>
        <v>0</v>
      </c>
      <c r="G17" s="45"/>
      <c r="H17" s="45">
        <f>+'Facturación con mora'!P16</f>
        <v>0</v>
      </c>
      <c r="I17" s="47">
        <f>+SUM('Recaudación 23-25'!B16:G16)</f>
        <v>0</v>
      </c>
      <c r="J17" s="499"/>
      <c r="K17" s="48" t="e">
        <f t="shared" si="0"/>
        <v>#DIV/0!</v>
      </c>
      <c r="L17" s="47" t="e">
        <f t="shared" si="1"/>
        <v>#DIV/0!</v>
      </c>
      <c r="M17" s="47" t="e">
        <f t="shared" si="2"/>
        <v>#DIV/0!</v>
      </c>
      <c r="N17" s="47">
        <f>'Consumo de agua x tipo cliente '!L40</f>
        <v>0</v>
      </c>
      <c r="O17" s="499">
        <f>SUM('Clientes agua 23-25'!H16:M16)</f>
        <v>0</v>
      </c>
      <c r="P17" s="694"/>
      <c r="Q17" s="499"/>
      <c r="R17" s="499">
        <f t="shared" si="13"/>
        <v>0</v>
      </c>
      <c r="S17" s="47">
        <f>+SUM('Facturación 23-25'!H16:M16)</f>
        <v>0</v>
      </c>
      <c r="T17" s="47">
        <f>SUM('Recaudación 23-25'!H16:M16)</f>
        <v>0</v>
      </c>
      <c r="U17" s="45">
        <f>+'Facturación con mora'!O16</f>
        <v>0</v>
      </c>
      <c r="V17" s="45">
        <f>+SUM('Recaudación 23-25'!H16:M16)</f>
        <v>0</v>
      </c>
      <c r="W17" s="499"/>
      <c r="X17" s="542" t="e">
        <f t="shared" si="3"/>
        <v>#DIV/0!</v>
      </c>
      <c r="Y17" s="542" t="e">
        <f>+(W17/(O17+P17))*100</f>
        <v>#DIV/0!</v>
      </c>
      <c r="Z17" s="542" t="e">
        <f t="shared" si="5"/>
        <v>#DIV/0!</v>
      </c>
      <c r="AA17" s="47">
        <f>'Consumo de agua x tipo cliente '!L27</f>
        <v>0</v>
      </c>
      <c r="AB17" s="653">
        <f t="shared" si="19"/>
        <v>0</v>
      </c>
      <c r="AC17" s="499">
        <f t="shared" si="6"/>
        <v>0</v>
      </c>
      <c r="AD17" s="769">
        <f>$D17+$Q17</f>
        <v>0</v>
      </c>
      <c r="AE17" s="499">
        <f t="shared" si="15"/>
        <v>0</v>
      </c>
      <c r="AF17" s="45">
        <f>+FACTURACION!C14</f>
        <v>0</v>
      </c>
      <c r="AG17" s="45">
        <f t="shared" si="8"/>
        <v>0</v>
      </c>
      <c r="AH17" s="45">
        <f>+FACTURACION!B14</f>
        <v>0</v>
      </c>
      <c r="AI17" s="45">
        <f>+'Recaudación 23-25'!N16</f>
        <v>0</v>
      </c>
      <c r="AJ17" s="653">
        <f t="shared" si="20"/>
        <v>0</v>
      </c>
      <c r="AK17" s="49" t="e">
        <f t="shared" si="16"/>
        <v>#DIV/0!</v>
      </c>
      <c r="AL17" s="49" t="e">
        <f t="shared" si="9"/>
        <v>#DIV/0!</v>
      </c>
      <c r="AM17" s="49" t="e">
        <f t="shared" si="10"/>
        <v>#DIV/0!</v>
      </c>
      <c r="AN17" s="45">
        <f>+AA17+N17</f>
        <v>0</v>
      </c>
      <c r="AO17" s="47">
        <f t="shared" si="17"/>
        <v>0</v>
      </c>
      <c r="AP17" s="45" t="e">
        <f t="shared" si="18"/>
        <v>#DIV/0!</v>
      </c>
      <c r="AQ17" s="499"/>
    </row>
    <row r="18" spans="1:43">
      <c r="A18" s="1">
        <v>45992</v>
      </c>
      <c r="B18" s="653">
        <f>SUM('Clientes agua 23-25'!B17:G17)</f>
        <v>0</v>
      </c>
      <c r="C18" s="696"/>
      <c r="D18" s="499"/>
      <c r="E18" s="653">
        <f t="shared" si="12"/>
        <v>0</v>
      </c>
      <c r="F18" s="45">
        <f>+'Facturación 23-25'!P17</f>
        <v>0</v>
      </c>
      <c r="G18" s="45"/>
      <c r="H18" s="45">
        <f>+'Facturación con mora'!P17</f>
        <v>0</v>
      </c>
      <c r="I18" s="47">
        <f>+SUM('Recaudación 23-25'!B17:G17)</f>
        <v>0</v>
      </c>
      <c r="J18" s="653"/>
      <c r="K18" s="48" t="e">
        <f t="shared" si="0"/>
        <v>#DIV/0!</v>
      </c>
      <c r="L18" s="47" t="e">
        <f t="shared" si="1"/>
        <v>#DIV/0!</v>
      </c>
      <c r="M18" s="47" t="e">
        <f t="shared" si="2"/>
        <v>#DIV/0!</v>
      </c>
      <c r="N18" s="47">
        <f>'Consumo de agua x tipo cliente '!M40</f>
        <v>0</v>
      </c>
      <c r="O18" s="499">
        <f>SUM('Clientes agua 23-25'!H17:M17)</f>
        <v>0</v>
      </c>
      <c r="P18" s="694"/>
      <c r="Q18" s="499"/>
      <c r="R18" s="499">
        <f t="shared" si="13"/>
        <v>0</v>
      </c>
      <c r="S18" s="47">
        <f>+SUM('Facturación 23-25'!H17:M17)</f>
        <v>0</v>
      </c>
      <c r="T18" s="47">
        <f>SUM('Recaudación 23-25'!H17:M17)</f>
        <v>0</v>
      </c>
      <c r="U18" s="45">
        <f>+'Facturación con mora'!O17</f>
        <v>0</v>
      </c>
      <c r="V18" s="45">
        <f>+SUM('Recaudación 23-25'!H17:M17)</f>
        <v>0</v>
      </c>
      <c r="W18" s="499"/>
      <c r="X18" s="542" t="e">
        <f t="shared" si="3"/>
        <v>#DIV/0!</v>
      </c>
      <c r="Y18" s="542" t="e">
        <f>+(W18/(O18+P18))*100</f>
        <v>#DIV/0!</v>
      </c>
      <c r="Z18" s="542" t="e">
        <f t="shared" si="5"/>
        <v>#DIV/0!</v>
      </c>
      <c r="AA18" s="47">
        <f>'Consumo de agua x tipo cliente '!M27</f>
        <v>0</v>
      </c>
      <c r="AB18" s="653">
        <f t="shared" si="19"/>
        <v>0</v>
      </c>
      <c r="AC18" s="499">
        <f t="shared" si="6"/>
        <v>0</v>
      </c>
      <c r="AD18" s="769">
        <f>$D18+$Q18</f>
        <v>0</v>
      </c>
      <c r="AE18" s="499">
        <f t="shared" si="15"/>
        <v>0</v>
      </c>
      <c r="AF18" s="45">
        <f>+FACTURACION!C15</f>
        <v>0</v>
      </c>
      <c r="AG18" s="45">
        <f t="shared" si="8"/>
        <v>0</v>
      </c>
      <c r="AH18" s="45">
        <f>+FACTURACION!B15</f>
        <v>0</v>
      </c>
      <c r="AI18" s="45">
        <f>+'Recaudación 23-25'!N17</f>
        <v>0</v>
      </c>
      <c r="AJ18" s="653">
        <f t="shared" si="20"/>
        <v>0</v>
      </c>
      <c r="AK18" s="49" t="e">
        <f t="shared" si="16"/>
        <v>#DIV/0!</v>
      </c>
      <c r="AL18" s="49" t="e">
        <f t="shared" si="9"/>
        <v>#DIV/0!</v>
      </c>
      <c r="AM18" s="49" t="e">
        <f t="shared" si="10"/>
        <v>#DIV/0!</v>
      </c>
      <c r="AN18" s="45">
        <f>+AA18+N18</f>
        <v>0</v>
      </c>
      <c r="AO18" s="47">
        <f t="shared" si="17"/>
        <v>0</v>
      </c>
      <c r="AP18" s="45" t="e">
        <f t="shared" si="18"/>
        <v>#DIV/0!</v>
      </c>
      <c r="AQ18" s="499"/>
    </row>
    <row r="22" spans="1:43">
      <c r="G22">
        <v>730115</v>
      </c>
    </row>
    <row r="26" spans="1:43">
      <c r="E26" t="s">
        <v>435</v>
      </c>
    </row>
    <row r="30" spans="1:43">
      <c r="H30" t="s">
        <v>555</v>
      </c>
      <c r="I30" t="s">
        <v>556</v>
      </c>
    </row>
    <row r="31" spans="1:43">
      <c r="G31" t="s">
        <v>123</v>
      </c>
      <c r="H31" s="683">
        <v>312257204.96005714</v>
      </c>
      <c r="I31" s="683">
        <v>130387686.68998709</v>
      </c>
    </row>
    <row r="32" spans="1:43">
      <c r="G32" s="1" t="s">
        <v>553</v>
      </c>
      <c r="H32" s="683">
        <v>316747678.90006423</v>
      </c>
      <c r="I32" s="683">
        <v>110307084.47859216</v>
      </c>
    </row>
    <row r="33" spans="7:9">
      <c r="G33" s="1" t="s">
        <v>554</v>
      </c>
      <c r="H33" s="683">
        <v>320796373.24000001</v>
      </c>
      <c r="I33" s="683">
        <v>110074716.65999566</v>
      </c>
    </row>
    <row r="34" spans="7:9">
      <c r="G34" s="1"/>
      <c r="H34" s="683"/>
      <c r="I34" s="683"/>
    </row>
  </sheetData>
  <mergeCells count="4">
    <mergeCell ref="A1:N1"/>
    <mergeCell ref="A2:N2"/>
    <mergeCell ref="A3:N3"/>
    <mergeCell ref="A4:N4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A47B0-F215-4BA9-B62A-C92E0AD31B4F}">
  <sheetPr codeName="Hoja10">
    <tabColor rgb="FF92D050"/>
  </sheetPr>
  <dimension ref="A1:U124"/>
  <sheetViews>
    <sheetView showGridLines="0" topLeftCell="A6" zoomScale="73" zoomScaleNormal="73" workbookViewId="0">
      <pane xSplit="1" topLeftCell="E1" activePane="topRight" state="frozen"/>
      <selection activeCell="A4" sqref="A4"/>
      <selection pane="topRight" activeCell="A17" sqref="A17:N17"/>
    </sheetView>
  </sheetViews>
  <sheetFormatPr baseColWidth="10" defaultColWidth="8.25" defaultRowHeight="15.75"/>
  <cols>
    <col min="1" max="1" width="26.75" customWidth="1"/>
    <col min="2" max="2" width="14.875" bestFit="1" customWidth="1"/>
    <col min="3" max="3" width="16.5" customWidth="1"/>
    <col min="4" max="4" width="17" customWidth="1"/>
    <col min="5" max="5" width="17.125" customWidth="1"/>
    <col min="6" max="6" width="16.375" customWidth="1"/>
    <col min="7" max="7" width="17.5" customWidth="1"/>
    <col min="8" max="8" width="14.75" bestFit="1" customWidth="1"/>
    <col min="9" max="9" width="16.875" customWidth="1"/>
    <col min="10" max="10" width="16.5" customWidth="1"/>
    <col min="11" max="11" width="14.5" bestFit="1" customWidth="1"/>
    <col min="12" max="12" width="15.125" bestFit="1" customWidth="1"/>
    <col min="13" max="13" width="18.75" customWidth="1"/>
    <col min="14" max="14" width="15.5" bestFit="1" customWidth="1"/>
    <col min="15" max="15" width="13.5" bestFit="1" customWidth="1"/>
    <col min="17" max="17" width="13.875" bestFit="1" customWidth="1"/>
    <col min="18" max="19" width="14.625" bestFit="1" customWidth="1"/>
    <col min="21" max="21" width="13.5" bestFit="1" customWidth="1"/>
    <col min="244" max="244" width="15.25" customWidth="1"/>
    <col min="245" max="245" width="16" customWidth="1"/>
    <col min="246" max="246" width="18.125" customWidth="1"/>
    <col min="247" max="247" width="16" customWidth="1"/>
    <col min="248" max="248" width="17.125" customWidth="1"/>
    <col min="249" max="249" width="15.625" customWidth="1"/>
    <col min="250" max="250" width="15.5" customWidth="1"/>
    <col min="251" max="252" width="16.375" bestFit="1" customWidth="1"/>
    <col min="253" max="253" width="16.125" bestFit="1" customWidth="1"/>
    <col min="254" max="254" width="16" customWidth="1"/>
    <col min="255" max="255" width="15.25" customWidth="1"/>
    <col min="256" max="256" width="16.375" bestFit="1" customWidth="1"/>
    <col min="257" max="257" width="16.625" customWidth="1"/>
    <col min="258" max="258" width="11.875" customWidth="1"/>
    <col min="259" max="259" width="13.125" bestFit="1" customWidth="1"/>
    <col min="260" max="260" width="20.125" customWidth="1"/>
    <col min="261" max="261" width="18.125" customWidth="1"/>
    <col min="262" max="262" width="12.375" bestFit="1" customWidth="1"/>
    <col min="263" max="263" width="15.125" customWidth="1"/>
    <col min="264" max="264" width="14.5" customWidth="1"/>
    <col min="265" max="265" width="11.875" customWidth="1"/>
    <col min="266" max="266" width="17.375" customWidth="1"/>
    <col min="267" max="267" width="11.875" bestFit="1" customWidth="1"/>
    <col min="268" max="268" width="12.875" bestFit="1" customWidth="1"/>
    <col min="269" max="269" width="8.5" customWidth="1"/>
    <col min="270" max="270" width="11.625" bestFit="1" customWidth="1"/>
    <col min="500" max="500" width="15.25" customWidth="1"/>
    <col min="501" max="501" width="16" customWidth="1"/>
    <col min="502" max="502" width="18.125" customWidth="1"/>
    <col min="503" max="503" width="16" customWidth="1"/>
    <col min="504" max="504" width="17.125" customWidth="1"/>
    <col min="505" max="505" width="15.625" customWidth="1"/>
    <col min="506" max="506" width="15.5" customWidth="1"/>
    <col min="507" max="508" width="16.375" bestFit="1" customWidth="1"/>
    <col min="509" max="509" width="16.125" bestFit="1" customWidth="1"/>
    <col min="510" max="510" width="16" customWidth="1"/>
    <col min="511" max="511" width="15.25" customWidth="1"/>
    <col min="512" max="512" width="16.375" bestFit="1" customWidth="1"/>
    <col min="513" max="513" width="16.625" customWidth="1"/>
    <col min="514" max="514" width="11.875" customWidth="1"/>
    <col min="515" max="515" width="13.125" bestFit="1" customWidth="1"/>
    <col min="516" max="516" width="20.125" customWidth="1"/>
    <col min="517" max="517" width="18.125" customWidth="1"/>
    <col min="518" max="518" width="12.375" bestFit="1" customWidth="1"/>
    <col min="519" max="519" width="15.125" customWidth="1"/>
    <col min="520" max="520" width="14.5" customWidth="1"/>
    <col min="521" max="521" width="11.875" customWidth="1"/>
    <col min="522" max="522" width="17.375" customWidth="1"/>
    <col min="523" max="523" width="11.875" bestFit="1" customWidth="1"/>
    <col min="524" max="524" width="12.875" bestFit="1" customWidth="1"/>
    <col min="525" max="525" width="8.5" customWidth="1"/>
    <col min="526" max="526" width="11.625" bestFit="1" customWidth="1"/>
    <col min="756" max="756" width="15.25" customWidth="1"/>
    <col min="757" max="757" width="16" customWidth="1"/>
    <col min="758" max="758" width="18.125" customWidth="1"/>
    <col min="759" max="759" width="16" customWidth="1"/>
    <col min="760" max="760" width="17.125" customWidth="1"/>
    <col min="761" max="761" width="15.625" customWidth="1"/>
    <col min="762" max="762" width="15.5" customWidth="1"/>
    <col min="763" max="764" width="16.375" bestFit="1" customWidth="1"/>
    <col min="765" max="765" width="16.125" bestFit="1" customWidth="1"/>
    <col min="766" max="766" width="16" customWidth="1"/>
    <col min="767" max="767" width="15.25" customWidth="1"/>
    <col min="768" max="768" width="16.375" bestFit="1" customWidth="1"/>
    <col min="769" max="769" width="16.625" customWidth="1"/>
    <col min="770" max="770" width="11.875" customWidth="1"/>
    <col min="771" max="771" width="13.125" bestFit="1" customWidth="1"/>
    <col min="772" max="772" width="20.125" customWidth="1"/>
    <col min="773" max="773" width="18.125" customWidth="1"/>
    <col min="774" max="774" width="12.375" bestFit="1" customWidth="1"/>
    <col min="775" max="775" width="15.125" customWidth="1"/>
    <col min="776" max="776" width="14.5" customWidth="1"/>
    <col min="777" max="777" width="11.875" customWidth="1"/>
    <col min="778" max="778" width="17.375" customWidth="1"/>
    <col min="779" max="779" width="11.875" bestFit="1" customWidth="1"/>
    <col min="780" max="780" width="12.875" bestFit="1" customWidth="1"/>
    <col min="781" max="781" width="8.5" customWidth="1"/>
    <col min="782" max="782" width="11.625" bestFit="1" customWidth="1"/>
    <col min="1012" max="1012" width="15.25" customWidth="1"/>
    <col min="1013" max="1013" width="16" customWidth="1"/>
    <col min="1014" max="1014" width="18.125" customWidth="1"/>
    <col min="1015" max="1015" width="16" customWidth="1"/>
    <col min="1016" max="1016" width="17.125" customWidth="1"/>
    <col min="1017" max="1017" width="15.625" customWidth="1"/>
    <col min="1018" max="1018" width="15.5" customWidth="1"/>
    <col min="1019" max="1020" width="16.375" bestFit="1" customWidth="1"/>
    <col min="1021" max="1021" width="16.125" bestFit="1" customWidth="1"/>
    <col min="1022" max="1022" width="16" customWidth="1"/>
    <col min="1023" max="1023" width="15.25" customWidth="1"/>
    <col min="1024" max="1024" width="16.375" bestFit="1" customWidth="1"/>
    <col min="1025" max="1025" width="16.625" customWidth="1"/>
    <col min="1026" max="1026" width="11.875" customWidth="1"/>
    <col min="1027" max="1027" width="13.125" bestFit="1" customWidth="1"/>
    <col min="1028" max="1028" width="20.125" customWidth="1"/>
    <col min="1029" max="1029" width="18.125" customWidth="1"/>
    <col min="1030" max="1030" width="12.375" bestFit="1" customWidth="1"/>
    <col min="1031" max="1031" width="15.125" customWidth="1"/>
    <col min="1032" max="1032" width="14.5" customWidth="1"/>
    <col min="1033" max="1033" width="11.875" customWidth="1"/>
    <col min="1034" max="1034" width="17.375" customWidth="1"/>
    <col min="1035" max="1035" width="11.875" bestFit="1" customWidth="1"/>
    <col min="1036" max="1036" width="12.875" bestFit="1" customWidth="1"/>
    <col min="1037" max="1037" width="8.5" customWidth="1"/>
    <col min="1038" max="1038" width="11.625" bestFit="1" customWidth="1"/>
    <col min="1268" max="1268" width="15.25" customWidth="1"/>
    <col min="1269" max="1269" width="16" customWidth="1"/>
    <col min="1270" max="1270" width="18.125" customWidth="1"/>
    <col min="1271" max="1271" width="16" customWidth="1"/>
    <col min="1272" max="1272" width="17.125" customWidth="1"/>
    <col min="1273" max="1273" width="15.625" customWidth="1"/>
    <col min="1274" max="1274" width="15.5" customWidth="1"/>
    <col min="1275" max="1276" width="16.375" bestFit="1" customWidth="1"/>
    <col min="1277" max="1277" width="16.125" bestFit="1" customWidth="1"/>
    <col min="1278" max="1278" width="16" customWidth="1"/>
    <col min="1279" max="1279" width="15.25" customWidth="1"/>
    <col min="1280" max="1280" width="16.375" bestFit="1" customWidth="1"/>
    <col min="1281" max="1281" width="16.625" customWidth="1"/>
    <col min="1282" max="1282" width="11.875" customWidth="1"/>
    <col min="1283" max="1283" width="13.125" bestFit="1" customWidth="1"/>
    <col min="1284" max="1284" width="20.125" customWidth="1"/>
    <col min="1285" max="1285" width="18.125" customWidth="1"/>
    <col min="1286" max="1286" width="12.375" bestFit="1" customWidth="1"/>
    <col min="1287" max="1287" width="15.125" customWidth="1"/>
    <col min="1288" max="1288" width="14.5" customWidth="1"/>
    <col min="1289" max="1289" width="11.875" customWidth="1"/>
    <col min="1290" max="1290" width="17.375" customWidth="1"/>
    <col min="1291" max="1291" width="11.875" bestFit="1" customWidth="1"/>
    <col min="1292" max="1292" width="12.875" bestFit="1" customWidth="1"/>
    <col min="1293" max="1293" width="8.5" customWidth="1"/>
    <col min="1294" max="1294" width="11.625" bestFit="1" customWidth="1"/>
    <col min="1524" max="1524" width="15.25" customWidth="1"/>
    <col min="1525" max="1525" width="16" customWidth="1"/>
    <col min="1526" max="1526" width="18.125" customWidth="1"/>
    <col min="1527" max="1527" width="16" customWidth="1"/>
    <col min="1528" max="1528" width="17.125" customWidth="1"/>
    <col min="1529" max="1529" width="15.625" customWidth="1"/>
    <col min="1530" max="1530" width="15.5" customWidth="1"/>
    <col min="1531" max="1532" width="16.375" bestFit="1" customWidth="1"/>
    <col min="1533" max="1533" width="16.125" bestFit="1" customWidth="1"/>
    <col min="1534" max="1534" width="16" customWidth="1"/>
    <col min="1535" max="1535" width="15.25" customWidth="1"/>
    <col min="1536" max="1536" width="16.375" bestFit="1" customWidth="1"/>
    <col min="1537" max="1537" width="16.625" customWidth="1"/>
    <col min="1538" max="1538" width="11.875" customWidth="1"/>
    <col min="1539" max="1539" width="13.125" bestFit="1" customWidth="1"/>
    <col min="1540" max="1540" width="20.125" customWidth="1"/>
    <col min="1541" max="1541" width="18.125" customWidth="1"/>
    <col min="1542" max="1542" width="12.375" bestFit="1" customWidth="1"/>
    <col min="1543" max="1543" width="15.125" customWidth="1"/>
    <col min="1544" max="1544" width="14.5" customWidth="1"/>
    <col min="1545" max="1545" width="11.875" customWidth="1"/>
    <col min="1546" max="1546" width="17.375" customWidth="1"/>
    <col min="1547" max="1547" width="11.875" bestFit="1" customWidth="1"/>
    <col min="1548" max="1548" width="12.875" bestFit="1" customWidth="1"/>
    <col min="1549" max="1549" width="8.5" customWidth="1"/>
    <col min="1550" max="1550" width="11.625" bestFit="1" customWidth="1"/>
    <col min="1780" max="1780" width="15.25" customWidth="1"/>
    <col min="1781" max="1781" width="16" customWidth="1"/>
    <col min="1782" max="1782" width="18.125" customWidth="1"/>
    <col min="1783" max="1783" width="16" customWidth="1"/>
    <col min="1784" max="1784" width="17.125" customWidth="1"/>
    <col min="1785" max="1785" width="15.625" customWidth="1"/>
    <col min="1786" max="1786" width="15.5" customWidth="1"/>
    <col min="1787" max="1788" width="16.375" bestFit="1" customWidth="1"/>
    <col min="1789" max="1789" width="16.125" bestFit="1" customWidth="1"/>
    <col min="1790" max="1790" width="16" customWidth="1"/>
    <col min="1791" max="1791" width="15.25" customWidth="1"/>
    <col min="1792" max="1792" width="16.375" bestFit="1" customWidth="1"/>
    <col min="1793" max="1793" width="16.625" customWidth="1"/>
    <col min="1794" max="1794" width="11.875" customWidth="1"/>
    <col min="1795" max="1795" width="13.125" bestFit="1" customWidth="1"/>
    <col min="1796" max="1796" width="20.125" customWidth="1"/>
    <col min="1797" max="1797" width="18.125" customWidth="1"/>
    <col min="1798" max="1798" width="12.375" bestFit="1" customWidth="1"/>
    <col min="1799" max="1799" width="15.125" customWidth="1"/>
    <col min="1800" max="1800" width="14.5" customWidth="1"/>
    <col min="1801" max="1801" width="11.875" customWidth="1"/>
    <col min="1802" max="1802" width="17.375" customWidth="1"/>
    <col min="1803" max="1803" width="11.875" bestFit="1" customWidth="1"/>
    <col min="1804" max="1804" width="12.875" bestFit="1" customWidth="1"/>
    <col min="1805" max="1805" width="8.5" customWidth="1"/>
    <col min="1806" max="1806" width="11.625" bestFit="1" customWidth="1"/>
    <col min="2036" max="2036" width="15.25" customWidth="1"/>
    <col min="2037" max="2037" width="16" customWidth="1"/>
    <col min="2038" max="2038" width="18.125" customWidth="1"/>
    <col min="2039" max="2039" width="16" customWidth="1"/>
    <col min="2040" max="2040" width="17.125" customWidth="1"/>
    <col min="2041" max="2041" width="15.625" customWidth="1"/>
    <col min="2042" max="2042" width="15.5" customWidth="1"/>
    <col min="2043" max="2044" width="16.375" bestFit="1" customWidth="1"/>
    <col min="2045" max="2045" width="16.125" bestFit="1" customWidth="1"/>
    <col min="2046" max="2046" width="16" customWidth="1"/>
    <col min="2047" max="2047" width="15.25" customWidth="1"/>
    <col min="2048" max="2048" width="16.375" bestFit="1" customWidth="1"/>
    <col min="2049" max="2049" width="16.625" customWidth="1"/>
    <col min="2050" max="2050" width="11.875" customWidth="1"/>
    <col min="2051" max="2051" width="13.125" bestFit="1" customWidth="1"/>
    <col min="2052" max="2052" width="20.125" customWidth="1"/>
    <col min="2053" max="2053" width="18.125" customWidth="1"/>
    <col min="2054" max="2054" width="12.375" bestFit="1" customWidth="1"/>
    <col min="2055" max="2055" width="15.125" customWidth="1"/>
    <col min="2056" max="2056" width="14.5" customWidth="1"/>
    <col min="2057" max="2057" width="11.875" customWidth="1"/>
    <col min="2058" max="2058" width="17.375" customWidth="1"/>
    <col min="2059" max="2059" width="11.875" bestFit="1" customWidth="1"/>
    <col min="2060" max="2060" width="12.875" bestFit="1" customWidth="1"/>
    <col min="2061" max="2061" width="8.5" customWidth="1"/>
    <col min="2062" max="2062" width="11.625" bestFit="1" customWidth="1"/>
    <col min="2292" max="2292" width="15.25" customWidth="1"/>
    <col min="2293" max="2293" width="16" customWidth="1"/>
    <col min="2294" max="2294" width="18.125" customWidth="1"/>
    <col min="2295" max="2295" width="16" customWidth="1"/>
    <col min="2296" max="2296" width="17.125" customWidth="1"/>
    <col min="2297" max="2297" width="15.625" customWidth="1"/>
    <col min="2298" max="2298" width="15.5" customWidth="1"/>
    <col min="2299" max="2300" width="16.375" bestFit="1" customWidth="1"/>
    <col min="2301" max="2301" width="16.125" bestFit="1" customWidth="1"/>
    <col min="2302" max="2302" width="16" customWidth="1"/>
    <col min="2303" max="2303" width="15.25" customWidth="1"/>
    <col min="2304" max="2304" width="16.375" bestFit="1" customWidth="1"/>
    <col min="2305" max="2305" width="16.625" customWidth="1"/>
    <col min="2306" max="2306" width="11.875" customWidth="1"/>
    <col min="2307" max="2307" width="13.125" bestFit="1" customWidth="1"/>
    <col min="2308" max="2308" width="20.125" customWidth="1"/>
    <col min="2309" max="2309" width="18.125" customWidth="1"/>
    <col min="2310" max="2310" width="12.375" bestFit="1" customWidth="1"/>
    <col min="2311" max="2311" width="15.125" customWidth="1"/>
    <col min="2312" max="2312" width="14.5" customWidth="1"/>
    <col min="2313" max="2313" width="11.875" customWidth="1"/>
    <col min="2314" max="2314" width="17.375" customWidth="1"/>
    <col min="2315" max="2315" width="11.875" bestFit="1" customWidth="1"/>
    <col min="2316" max="2316" width="12.875" bestFit="1" customWidth="1"/>
    <col min="2317" max="2317" width="8.5" customWidth="1"/>
    <col min="2318" max="2318" width="11.625" bestFit="1" customWidth="1"/>
    <col min="2548" max="2548" width="15.25" customWidth="1"/>
    <col min="2549" max="2549" width="16" customWidth="1"/>
    <col min="2550" max="2550" width="18.125" customWidth="1"/>
    <col min="2551" max="2551" width="16" customWidth="1"/>
    <col min="2552" max="2552" width="17.125" customWidth="1"/>
    <col min="2553" max="2553" width="15.625" customWidth="1"/>
    <col min="2554" max="2554" width="15.5" customWidth="1"/>
    <col min="2555" max="2556" width="16.375" bestFit="1" customWidth="1"/>
    <col min="2557" max="2557" width="16.125" bestFit="1" customWidth="1"/>
    <col min="2558" max="2558" width="16" customWidth="1"/>
    <col min="2559" max="2559" width="15.25" customWidth="1"/>
    <col min="2560" max="2560" width="16.375" bestFit="1" customWidth="1"/>
    <col min="2561" max="2561" width="16.625" customWidth="1"/>
    <col min="2562" max="2562" width="11.875" customWidth="1"/>
    <col min="2563" max="2563" width="13.125" bestFit="1" customWidth="1"/>
    <col min="2564" max="2564" width="20.125" customWidth="1"/>
    <col min="2565" max="2565" width="18.125" customWidth="1"/>
    <col min="2566" max="2566" width="12.375" bestFit="1" customWidth="1"/>
    <col min="2567" max="2567" width="15.125" customWidth="1"/>
    <col min="2568" max="2568" width="14.5" customWidth="1"/>
    <col min="2569" max="2569" width="11.875" customWidth="1"/>
    <col min="2570" max="2570" width="17.375" customWidth="1"/>
    <col min="2571" max="2571" width="11.875" bestFit="1" customWidth="1"/>
    <col min="2572" max="2572" width="12.875" bestFit="1" customWidth="1"/>
    <col min="2573" max="2573" width="8.5" customWidth="1"/>
    <col min="2574" max="2574" width="11.625" bestFit="1" customWidth="1"/>
    <col min="2804" max="2804" width="15.25" customWidth="1"/>
    <col min="2805" max="2805" width="16" customWidth="1"/>
    <col min="2806" max="2806" width="18.125" customWidth="1"/>
    <col min="2807" max="2807" width="16" customWidth="1"/>
    <col min="2808" max="2808" width="17.125" customWidth="1"/>
    <col min="2809" max="2809" width="15.625" customWidth="1"/>
    <col min="2810" max="2810" width="15.5" customWidth="1"/>
    <col min="2811" max="2812" width="16.375" bestFit="1" customWidth="1"/>
    <col min="2813" max="2813" width="16.125" bestFit="1" customWidth="1"/>
    <col min="2814" max="2814" width="16" customWidth="1"/>
    <col min="2815" max="2815" width="15.25" customWidth="1"/>
    <col min="2816" max="2816" width="16.375" bestFit="1" customWidth="1"/>
    <col min="2817" max="2817" width="16.625" customWidth="1"/>
    <col min="2818" max="2818" width="11.875" customWidth="1"/>
    <col min="2819" max="2819" width="13.125" bestFit="1" customWidth="1"/>
    <col min="2820" max="2820" width="20.125" customWidth="1"/>
    <col min="2821" max="2821" width="18.125" customWidth="1"/>
    <col min="2822" max="2822" width="12.375" bestFit="1" customWidth="1"/>
    <col min="2823" max="2823" width="15.125" customWidth="1"/>
    <col min="2824" max="2824" width="14.5" customWidth="1"/>
    <col min="2825" max="2825" width="11.875" customWidth="1"/>
    <col min="2826" max="2826" width="17.375" customWidth="1"/>
    <col min="2827" max="2827" width="11.875" bestFit="1" customWidth="1"/>
    <col min="2828" max="2828" width="12.875" bestFit="1" customWidth="1"/>
    <col min="2829" max="2829" width="8.5" customWidth="1"/>
    <col min="2830" max="2830" width="11.625" bestFit="1" customWidth="1"/>
    <col min="3060" max="3060" width="15.25" customWidth="1"/>
    <col min="3061" max="3061" width="16" customWidth="1"/>
    <col min="3062" max="3062" width="18.125" customWidth="1"/>
    <col min="3063" max="3063" width="16" customWidth="1"/>
    <col min="3064" max="3064" width="17.125" customWidth="1"/>
    <col min="3065" max="3065" width="15.625" customWidth="1"/>
    <col min="3066" max="3066" width="15.5" customWidth="1"/>
    <col min="3067" max="3068" width="16.375" bestFit="1" customWidth="1"/>
    <col min="3069" max="3069" width="16.125" bestFit="1" customWidth="1"/>
    <col min="3070" max="3070" width="16" customWidth="1"/>
    <col min="3071" max="3071" width="15.25" customWidth="1"/>
    <col min="3072" max="3072" width="16.375" bestFit="1" customWidth="1"/>
    <col min="3073" max="3073" width="16.625" customWidth="1"/>
    <col min="3074" max="3074" width="11.875" customWidth="1"/>
    <col min="3075" max="3075" width="13.125" bestFit="1" customWidth="1"/>
    <col min="3076" max="3076" width="20.125" customWidth="1"/>
    <col min="3077" max="3077" width="18.125" customWidth="1"/>
    <col min="3078" max="3078" width="12.375" bestFit="1" customWidth="1"/>
    <col min="3079" max="3079" width="15.125" customWidth="1"/>
    <col min="3080" max="3080" width="14.5" customWidth="1"/>
    <col min="3081" max="3081" width="11.875" customWidth="1"/>
    <col min="3082" max="3082" width="17.375" customWidth="1"/>
    <col min="3083" max="3083" width="11.875" bestFit="1" customWidth="1"/>
    <col min="3084" max="3084" width="12.875" bestFit="1" customWidth="1"/>
    <col min="3085" max="3085" width="8.5" customWidth="1"/>
    <col min="3086" max="3086" width="11.625" bestFit="1" customWidth="1"/>
    <col min="3316" max="3316" width="15.25" customWidth="1"/>
    <col min="3317" max="3317" width="16" customWidth="1"/>
    <col min="3318" max="3318" width="18.125" customWidth="1"/>
    <col min="3319" max="3319" width="16" customWidth="1"/>
    <col min="3320" max="3320" width="17.125" customWidth="1"/>
    <col min="3321" max="3321" width="15.625" customWidth="1"/>
    <col min="3322" max="3322" width="15.5" customWidth="1"/>
    <col min="3323" max="3324" width="16.375" bestFit="1" customWidth="1"/>
    <col min="3325" max="3325" width="16.125" bestFit="1" customWidth="1"/>
    <col min="3326" max="3326" width="16" customWidth="1"/>
    <col min="3327" max="3327" width="15.25" customWidth="1"/>
    <col min="3328" max="3328" width="16.375" bestFit="1" customWidth="1"/>
    <col min="3329" max="3329" width="16.625" customWidth="1"/>
    <col min="3330" max="3330" width="11.875" customWidth="1"/>
    <col min="3331" max="3331" width="13.125" bestFit="1" customWidth="1"/>
    <col min="3332" max="3332" width="20.125" customWidth="1"/>
    <col min="3333" max="3333" width="18.125" customWidth="1"/>
    <col min="3334" max="3334" width="12.375" bestFit="1" customWidth="1"/>
    <col min="3335" max="3335" width="15.125" customWidth="1"/>
    <col min="3336" max="3336" width="14.5" customWidth="1"/>
    <col min="3337" max="3337" width="11.875" customWidth="1"/>
    <col min="3338" max="3338" width="17.375" customWidth="1"/>
    <col min="3339" max="3339" width="11.875" bestFit="1" customWidth="1"/>
    <col min="3340" max="3340" width="12.875" bestFit="1" customWidth="1"/>
    <col min="3341" max="3341" width="8.5" customWidth="1"/>
    <col min="3342" max="3342" width="11.625" bestFit="1" customWidth="1"/>
    <col min="3572" max="3572" width="15.25" customWidth="1"/>
    <col min="3573" max="3573" width="16" customWidth="1"/>
    <col min="3574" max="3574" width="18.125" customWidth="1"/>
    <col min="3575" max="3575" width="16" customWidth="1"/>
    <col min="3576" max="3576" width="17.125" customWidth="1"/>
    <col min="3577" max="3577" width="15.625" customWidth="1"/>
    <col min="3578" max="3578" width="15.5" customWidth="1"/>
    <col min="3579" max="3580" width="16.375" bestFit="1" customWidth="1"/>
    <col min="3581" max="3581" width="16.125" bestFit="1" customWidth="1"/>
    <col min="3582" max="3582" width="16" customWidth="1"/>
    <col min="3583" max="3583" width="15.25" customWidth="1"/>
    <col min="3584" max="3584" width="16.375" bestFit="1" customWidth="1"/>
    <col min="3585" max="3585" width="16.625" customWidth="1"/>
    <col min="3586" max="3586" width="11.875" customWidth="1"/>
    <col min="3587" max="3587" width="13.125" bestFit="1" customWidth="1"/>
    <col min="3588" max="3588" width="20.125" customWidth="1"/>
    <col min="3589" max="3589" width="18.125" customWidth="1"/>
    <col min="3590" max="3590" width="12.375" bestFit="1" customWidth="1"/>
    <col min="3591" max="3591" width="15.125" customWidth="1"/>
    <col min="3592" max="3592" width="14.5" customWidth="1"/>
    <col min="3593" max="3593" width="11.875" customWidth="1"/>
    <col min="3594" max="3594" width="17.375" customWidth="1"/>
    <col min="3595" max="3595" width="11.875" bestFit="1" customWidth="1"/>
    <col min="3596" max="3596" width="12.875" bestFit="1" customWidth="1"/>
    <col min="3597" max="3597" width="8.5" customWidth="1"/>
    <col min="3598" max="3598" width="11.625" bestFit="1" customWidth="1"/>
    <col min="3828" max="3828" width="15.25" customWidth="1"/>
    <col min="3829" max="3829" width="16" customWidth="1"/>
    <col min="3830" max="3830" width="18.125" customWidth="1"/>
    <col min="3831" max="3831" width="16" customWidth="1"/>
    <col min="3832" max="3832" width="17.125" customWidth="1"/>
    <col min="3833" max="3833" width="15.625" customWidth="1"/>
    <col min="3834" max="3834" width="15.5" customWidth="1"/>
    <col min="3835" max="3836" width="16.375" bestFit="1" customWidth="1"/>
    <col min="3837" max="3837" width="16.125" bestFit="1" customWidth="1"/>
    <col min="3838" max="3838" width="16" customWidth="1"/>
    <col min="3839" max="3839" width="15.25" customWidth="1"/>
    <col min="3840" max="3840" width="16.375" bestFit="1" customWidth="1"/>
    <col min="3841" max="3841" width="16.625" customWidth="1"/>
    <col min="3842" max="3842" width="11.875" customWidth="1"/>
    <col min="3843" max="3843" width="13.125" bestFit="1" customWidth="1"/>
    <col min="3844" max="3844" width="20.125" customWidth="1"/>
    <col min="3845" max="3845" width="18.125" customWidth="1"/>
    <col min="3846" max="3846" width="12.375" bestFit="1" customWidth="1"/>
    <col min="3847" max="3847" width="15.125" customWidth="1"/>
    <col min="3848" max="3848" width="14.5" customWidth="1"/>
    <col min="3849" max="3849" width="11.875" customWidth="1"/>
    <col min="3850" max="3850" width="17.375" customWidth="1"/>
    <col min="3851" max="3851" width="11.875" bestFit="1" customWidth="1"/>
    <col min="3852" max="3852" width="12.875" bestFit="1" customWidth="1"/>
    <col min="3853" max="3853" width="8.5" customWidth="1"/>
    <col min="3854" max="3854" width="11.625" bestFit="1" customWidth="1"/>
    <col min="4084" max="4084" width="15.25" customWidth="1"/>
    <col min="4085" max="4085" width="16" customWidth="1"/>
    <col min="4086" max="4086" width="18.125" customWidth="1"/>
    <col min="4087" max="4087" width="16" customWidth="1"/>
    <col min="4088" max="4088" width="17.125" customWidth="1"/>
    <col min="4089" max="4089" width="15.625" customWidth="1"/>
    <col min="4090" max="4090" width="15.5" customWidth="1"/>
    <col min="4091" max="4092" width="16.375" bestFit="1" customWidth="1"/>
    <col min="4093" max="4093" width="16.125" bestFit="1" customWidth="1"/>
    <col min="4094" max="4094" width="16" customWidth="1"/>
    <col min="4095" max="4095" width="15.25" customWidth="1"/>
    <col min="4096" max="4096" width="16.375" bestFit="1" customWidth="1"/>
    <col min="4097" max="4097" width="16.625" customWidth="1"/>
    <col min="4098" max="4098" width="11.875" customWidth="1"/>
    <col min="4099" max="4099" width="13.125" bestFit="1" customWidth="1"/>
    <col min="4100" max="4100" width="20.125" customWidth="1"/>
    <col min="4101" max="4101" width="18.125" customWidth="1"/>
    <col min="4102" max="4102" width="12.375" bestFit="1" customWidth="1"/>
    <col min="4103" max="4103" width="15.125" customWidth="1"/>
    <col min="4104" max="4104" width="14.5" customWidth="1"/>
    <col min="4105" max="4105" width="11.875" customWidth="1"/>
    <col min="4106" max="4106" width="17.375" customWidth="1"/>
    <col min="4107" max="4107" width="11.875" bestFit="1" customWidth="1"/>
    <col min="4108" max="4108" width="12.875" bestFit="1" customWidth="1"/>
    <col min="4109" max="4109" width="8.5" customWidth="1"/>
    <col min="4110" max="4110" width="11.625" bestFit="1" customWidth="1"/>
    <col min="4340" max="4340" width="15.25" customWidth="1"/>
    <col min="4341" max="4341" width="16" customWidth="1"/>
    <col min="4342" max="4342" width="18.125" customWidth="1"/>
    <col min="4343" max="4343" width="16" customWidth="1"/>
    <col min="4344" max="4344" width="17.125" customWidth="1"/>
    <col min="4345" max="4345" width="15.625" customWidth="1"/>
    <col min="4346" max="4346" width="15.5" customWidth="1"/>
    <col min="4347" max="4348" width="16.375" bestFit="1" customWidth="1"/>
    <col min="4349" max="4349" width="16.125" bestFit="1" customWidth="1"/>
    <col min="4350" max="4350" width="16" customWidth="1"/>
    <col min="4351" max="4351" width="15.25" customWidth="1"/>
    <col min="4352" max="4352" width="16.375" bestFit="1" customWidth="1"/>
    <col min="4353" max="4353" width="16.625" customWidth="1"/>
    <col min="4354" max="4354" width="11.875" customWidth="1"/>
    <col min="4355" max="4355" width="13.125" bestFit="1" customWidth="1"/>
    <col min="4356" max="4356" width="20.125" customWidth="1"/>
    <col min="4357" max="4357" width="18.125" customWidth="1"/>
    <col min="4358" max="4358" width="12.375" bestFit="1" customWidth="1"/>
    <col min="4359" max="4359" width="15.125" customWidth="1"/>
    <col min="4360" max="4360" width="14.5" customWidth="1"/>
    <col min="4361" max="4361" width="11.875" customWidth="1"/>
    <col min="4362" max="4362" width="17.375" customWidth="1"/>
    <col min="4363" max="4363" width="11.875" bestFit="1" customWidth="1"/>
    <col min="4364" max="4364" width="12.875" bestFit="1" customWidth="1"/>
    <col min="4365" max="4365" width="8.5" customWidth="1"/>
    <col min="4366" max="4366" width="11.625" bestFit="1" customWidth="1"/>
    <col min="4596" max="4596" width="15.25" customWidth="1"/>
    <col min="4597" max="4597" width="16" customWidth="1"/>
    <col min="4598" max="4598" width="18.125" customWidth="1"/>
    <col min="4599" max="4599" width="16" customWidth="1"/>
    <col min="4600" max="4600" width="17.125" customWidth="1"/>
    <col min="4601" max="4601" width="15.625" customWidth="1"/>
    <col min="4602" max="4602" width="15.5" customWidth="1"/>
    <col min="4603" max="4604" width="16.375" bestFit="1" customWidth="1"/>
    <col min="4605" max="4605" width="16.125" bestFit="1" customWidth="1"/>
    <col min="4606" max="4606" width="16" customWidth="1"/>
    <col min="4607" max="4607" width="15.25" customWidth="1"/>
    <col min="4608" max="4608" width="16.375" bestFit="1" customWidth="1"/>
    <col min="4609" max="4609" width="16.625" customWidth="1"/>
    <col min="4610" max="4610" width="11.875" customWidth="1"/>
    <col min="4611" max="4611" width="13.125" bestFit="1" customWidth="1"/>
    <col min="4612" max="4612" width="20.125" customWidth="1"/>
    <col min="4613" max="4613" width="18.125" customWidth="1"/>
    <col min="4614" max="4614" width="12.375" bestFit="1" customWidth="1"/>
    <col min="4615" max="4615" width="15.125" customWidth="1"/>
    <col min="4616" max="4616" width="14.5" customWidth="1"/>
    <col min="4617" max="4617" width="11.875" customWidth="1"/>
    <col min="4618" max="4618" width="17.375" customWidth="1"/>
    <col min="4619" max="4619" width="11.875" bestFit="1" customWidth="1"/>
    <col min="4620" max="4620" width="12.875" bestFit="1" customWidth="1"/>
    <col min="4621" max="4621" width="8.5" customWidth="1"/>
    <col min="4622" max="4622" width="11.625" bestFit="1" customWidth="1"/>
    <col min="4852" max="4852" width="15.25" customWidth="1"/>
    <col min="4853" max="4853" width="16" customWidth="1"/>
    <col min="4854" max="4854" width="18.125" customWidth="1"/>
    <col min="4855" max="4855" width="16" customWidth="1"/>
    <col min="4856" max="4856" width="17.125" customWidth="1"/>
    <col min="4857" max="4857" width="15.625" customWidth="1"/>
    <col min="4858" max="4858" width="15.5" customWidth="1"/>
    <col min="4859" max="4860" width="16.375" bestFit="1" customWidth="1"/>
    <col min="4861" max="4861" width="16.125" bestFit="1" customWidth="1"/>
    <col min="4862" max="4862" width="16" customWidth="1"/>
    <col min="4863" max="4863" width="15.25" customWidth="1"/>
    <col min="4864" max="4864" width="16.375" bestFit="1" customWidth="1"/>
    <col min="4865" max="4865" width="16.625" customWidth="1"/>
    <col min="4866" max="4866" width="11.875" customWidth="1"/>
    <col min="4867" max="4867" width="13.125" bestFit="1" customWidth="1"/>
    <col min="4868" max="4868" width="20.125" customWidth="1"/>
    <col min="4869" max="4869" width="18.125" customWidth="1"/>
    <col min="4870" max="4870" width="12.375" bestFit="1" customWidth="1"/>
    <col min="4871" max="4871" width="15.125" customWidth="1"/>
    <col min="4872" max="4872" width="14.5" customWidth="1"/>
    <col min="4873" max="4873" width="11.875" customWidth="1"/>
    <col min="4874" max="4874" width="17.375" customWidth="1"/>
    <col min="4875" max="4875" width="11.875" bestFit="1" customWidth="1"/>
    <col min="4876" max="4876" width="12.875" bestFit="1" customWidth="1"/>
    <col min="4877" max="4877" width="8.5" customWidth="1"/>
    <col min="4878" max="4878" width="11.625" bestFit="1" customWidth="1"/>
    <col min="5108" max="5108" width="15.25" customWidth="1"/>
    <col min="5109" max="5109" width="16" customWidth="1"/>
    <col min="5110" max="5110" width="18.125" customWidth="1"/>
    <col min="5111" max="5111" width="16" customWidth="1"/>
    <col min="5112" max="5112" width="17.125" customWidth="1"/>
    <col min="5113" max="5113" width="15.625" customWidth="1"/>
    <col min="5114" max="5114" width="15.5" customWidth="1"/>
    <col min="5115" max="5116" width="16.375" bestFit="1" customWidth="1"/>
    <col min="5117" max="5117" width="16.125" bestFit="1" customWidth="1"/>
    <col min="5118" max="5118" width="16" customWidth="1"/>
    <col min="5119" max="5119" width="15.25" customWidth="1"/>
    <col min="5120" max="5120" width="16.375" bestFit="1" customWidth="1"/>
    <col min="5121" max="5121" width="16.625" customWidth="1"/>
    <col min="5122" max="5122" width="11.875" customWidth="1"/>
    <col min="5123" max="5123" width="13.125" bestFit="1" customWidth="1"/>
    <col min="5124" max="5124" width="20.125" customWidth="1"/>
    <col min="5125" max="5125" width="18.125" customWidth="1"/>
    <col min="5126" max="5126" width="12.375" bestFit="1" customWidth="1"/>
    <col min="5127" max="5127" width="15.125" customWidth="1"/>
    <col min="5128" max="5128" width="14.5" customWidth="1"/>
    <col min="5129" max="5129" width="11.875" customWidth="1"/>
    <col min="5130" max="5130" width="17.375" customWidth="1"/>
    <col min="5131" max="5131" width="11.875" bestFit="1" customWidth="1"/>
    <col min="5132" max="5132" width="12.875" bestFit="1" customWidth="1"/>
    <col min="5133" max="5133" width="8.5" customWidth="1"/>
    <col min="5134" max="5134" width="11.625" bestFit="1" customWidth="1"/>
    <col min="5364" max="5364" width="15.25" customWidth="1"/>
    <col min="5365" max="5365" width="16" customWidth="1"/>
    <col min="5366" max="5366" width="18.125" customWidth="1"/>
    <col min="5367" max="5367" width="16" customWidth="1"/>
    <col min="5368" max="5368" width="17.125" customWidth="1"/>
    <col min="5369" max="5369" width="15.625" customWidth="1"/>
    <col min="5370" max="5370" width="15.5" customWidth="1"/>
    <col min="5371" max="5372" width="16.375" bestFit="1" customWidth="1"/>
    <col min="5373" max="5373" width="16.125" bestFit="1" customWidth="1"/>
    <col min="5374" max="5374" width="16" customWidth="1"/>
    <col min="5375" max="5375" width="15.25" customWidth="1"/>
    <col min="5376" max="5376" width="16.375" bestFit="1" customWidth="1"/>
    <col min="5377" max="5377" width="16.625" customWidth="1"/>
    <col min="5378" max="5378" width="11.875" customWidth="1"/>
    <col min="5379" max="5379" width="13.125" bestFit="1" customWidth="1"/>
    <col min="5380" max="5380" width="20.125" customWidth="1"/>
    <col min="5381" max="5381" width="18.125" customWidth="1"/>
    <col min="5382" max="5382" width="12.375" bestFit="1" customWidth="1"/>
    <col min="5383" max="5383" width="15.125" customWidth="1"/>
    <col min="5384" max="5384" width="14.5" customWidth="1"/>
    <col min="5385" max="5385" width="11.875" customWidth="1"/>
    <col min="5386" max="5386" width="17.375" customWidth="1"/>
    <col min="5387" max="5387" width="11.875" bestFit="1" customWidth="1"/>
    <col min="5388" max="5388" width="12.875" bestFit="1" customWidth="1"/>
    <col min="5389" max="5389" width="8.5" customWidth="1"/>
    <col min="5390" max="5390" width="11.625" bestFit="1" customWidth="1"/>
    <col min="5620" max="5620" width="15.25" customWidth="1"/>
    <col min="5621" max="5621" width="16" customWidth="1"/>
    <col min="5622" max="5622" width="18.125" customWidth="1"/>
    <col min="5623" max="5623" width="16" customWidth="1"/>
    <col min="5624" max="5624" width="17.125" customWidth="1"/>
    <col min="5625" max="5625" width="15.625" customWidth="1"/>
    <col min="5626" max="5626" width="15.5" customWidth="1"/>
    <col min="5627" max="5628" width="16.375" bestFit="1" customWidth="1"/>
    <col min="5629" max="5629" width="16.125" bestFit="1" customWidth="1"/>
    <col min="5630" max="5630" width="16" customWidth="1"/>
    <col min="5631" max="5631" width="15.25" customWidth="1"/>
    <col min="5632" max="5632" width="16.375" bestFit="1" customWidth="1"/>
    <col min="5633" max="5633" width="16.625" customWidth="1"/>
    <col min="5634" max="5634" width="11.875" customWidth="1"/>
    <col min="5635" max="5635" width="13.125" bestFit="1" customWidth="1"/>
    <col min="5636" max="5636" width="20.125" customWidth="1"/>
    <col min="5637" max="5637" width="18.125" customWidth="1"/>
    <col min="5638" max="5638" width="12.375" bestFit="1" customWidth="1"/>
    <col min="5639" max="5639" width="15.125" customWidth="1"/>
    <col min="5640" max="5640" width="14.5" customWidth="1"/>
    <col min="5641" max="5641" width="11.875" customWidth="1"/>
    <col min="5642" max="5642" width="17.375" customWidth="1"/>
    <col min="5643" max="5643" width="11.875" bestFit="1" customWidth="1"/>
    <col min="5644" max="5644" width="12.875" bestFit="1" customWidth="1"/>
    <col min="5645" max="5645" width="8.5" customWidth="1"/>
    <col min="5646" max="5646" width="11.625" bestFit="1" customWidth="1"/>
    <col min="5876" max="5876" width="15.25" customWidth="1"/>
    <col min="5877" max="5877" width="16" customWidth="1"/>
    <col min="5878" max="5878" width="18.125" customWidth="1"/>
    <col min="5879" max="5879" width="16" customWidth="1"/>
    <col min="5880" max="5880" width="17.125" customWidth="1"/>
    <col min="5881" max="5881" width="15.625" customWidth="1"/>
    <col min="5882" max="5882" width="15.5" customWidth="1"/>
    <col min="5883" max="5884" width="16.375" bestFit="1" customWidth="1"/>
    <col min="5885" max="5885" width="16.125" bestFit="1" customWidth="1"/>
    <col min="5886" max="5886" width="16" customWidth="1"/>
    <col min="5887" max="5887" width="15.25" customWidth="1"/>
    <col min="5888" max="5888" width="16.375" bestFit="1" customWidth="1"/>
    <col min="5889" max="5889" width="16.625" customWidth="1"/>
    <col min="5890" max="5890" width="11.875" customWidth="1"/>
    <col min="5891" max="5891" width="13.125" bestFit="1" customWidth="1"/>
    <col min="5892" max="5892" width="20.125" customWidth="1"/>
    <col min="5893" max="5893" width="18.125" customWidth="1"/>
    <col min="5894" max="5894" width="12.375" bestFit="1" customWidth="1"/>
    <col min="5895" max="5895" width="15.125" customWidth="1"/>
    <col min="5896" max="5896" width="14.5" customWidth="1"/>
    <col min="5897" max="5897" width="11.875" customWidth="1"/>
    <col min="5898" max="5898" width="17.375" customWidth="1"/>
    <col min="5899" max="5899" width="11.875" bestFit="1" customWidth="1"/>
    <col min="5900" max="5900" width="12.875" bestFit="1" customWidth="1"/>
    <col min="5901" max="5901" width="8.5" customWidth="1"/>
    <col min="5902" max="5902" width="11.625" bestFit="1" customWidth="1"/>
    <col min="6132" max="6132" width="15.25" customWidth="1"/>
    <col min="6133" max="6133" width="16" customWidth="1"/>
    <col min="6134" max="6134" width="18.125" customWidth="1"/>
    <col min="6135" max="6135" width="16" customWidth="1"/>
    <col min="6136" max="6136" width="17.125" customWidth="1"/>
    <col min="6137" max="6137" width="15.625" customWidth="1"/>
    <col min="6138" max="6138" width="15.5" customWidth="1"/>
    <col min="6139" max="6140" width="16.375" bestFit="1" customWidth="1"/>
    <col min="6141" max="6141" width="16.125" bestFit="1" customWidth="1"/>
    <col min="6142" max="6142" width="16" customWidth="1"/>
    <col min="6143" max="6143" width="15.25" customWidth="1"/>
    <col min="6144" max="6144" width="16.375" bestFit="1" customWidth="1"/>
    <col min="6145" max="6145" width="16.625" customWidth="1"/>
    <col min="6146" max="6146" width="11.875" customWidth="1"/>
    <col min="6147" max="6147" width="13.125" bestFit="1" customWidth="1"/>
    <col min="6148" max="6148" width="20.125" customWidth="1"/>
    <col min="6149" max="6149" width="18.125" customWidth="1"/>
    <col min="6150" max="6150" width="12.375" bestFit="1" customWidth="1"/>
    <col min="6151" max="6151" width="15.125" customWidth="1"/>
    <col min="6152" max="6152" width="14.5" customWidth="1"/>
    <col min="6153" max="6153" width="11.875" customWidth="1"/>
    <col min="6154" max="6154" width="17.375" customWidth="1"/>
    <col min="6155" max="6155" width="11.875" bestFit="1" customWidth="1"/>
    <col min="6156" max="6156" width="12.875" bestFit="1" customWidth="1"/>
    <col min="6157" max="6157" width="8.5" customWidth="1"/>
    <col min="6158" max="6158" width="11.625" bestFit="1" customWidth="1"/>
    <col min="6388" max="6388" width="15.25" customWidth="1"/>
    <col min="6389" max="6389" width="16" customWidth="1"/>
    <col min="6390" max="6390" width="18.125" customWidth="1"/>
    <col min="6391" max="6391" width="16" customWidth="1"/>
    <col min="6392" max="6392" width="17.125" customWidth="1"/>
    <col min="6393" max="6393" width="15.625" customWidth="1"/>
    <col min="6394" max="6394" width="15.5" customWidth="1"/>
    <col min="6395" max="6396" width="16.375" bestFit="1" customWidth="1"/>
    <col min="6397" max="6397" width="16.125" bestFit="1" customWidth="1"/>
    <col min="6398" max="6398" width="16" customWidth="1"/>
    <col min="6399" max="6399" width="15.25" customWidth="1"/>
    <col min="6400" max="6400" width="16.375" bestFit="1" customWidth="1"/>
    <col min="6401" max="6401" width="16.625" customWidth="1"/>
    <col min="6402" max="6402" width="11.875" customWidth="1"/>
    <col min="6403" max="6403" width="13.125" bestFit="1" customWidth="1"/>
    <col min="6404" max="6404" width="20.125" customWidth="1"/>
    <col min="6405" max="6405" width="18.125" customWidth="1"/>
    <col min="6406" max="6406" width="12.375" bestFit="1" customWidth="1"/>
    <col min="6407" max="6407" width="15.125" customWidth="1"/>
    <col min="6408" max="6408" width="14.5" customWidth="1"/>
    <col min="6409" max="6409" width="11.875" customWidth="1"/>
    <col min="6410" max="6410" width="17.375" customWidth="1"/>
    <col min="6411" max="6411" width="11.875" bestFit="1" customWidth="1"/>
    <col min="6412" max="6412" width="12.875" bestFit="1" customWidth="1"/>
    <col min="6413" max="6413" width="8.5" customWidth="1"/>
    <col min="6414" max="6414" width="11.625" bestFit="1" customWidth="1"/>
    <col min="6644" max="6644" width="15.25" customWidth="1"/>
    <col min="6645" max="6645" width="16" customWidth="1"/>
    <col min="6646" max="6646" width="18.125" customWidth="1"/>
    <col min="6647" max="6647" width="16" customWidth="1"/>
    <col min="6648" max="6648" width="17.125" customWidth="1"/>
    <col min="6649" max="6649" width="15.625" customWidth="1"/>
    <col min="6650" max="6650" width="15.5" customWidth="1"/>
    <col min="6651" max="6652" width="16.375" bestFit="1" customWidth="1"/>
    <col min="6653" max="6653" width="16.125" bestFit="1" customWidth="1"/>
    <col min="6654" max="6654" width="16" customWidth="1"/>
    <col min="6655" max="6655" width="15.25" customWidth="1"/>
    <col min="6656" max="6656" width="16.375" bestFit="1" customWidth="1"/>
    <col min="6657" max="6657" width="16.625" customWidth="1"/>
    <col min="6658" max="6658" width="11.875" customWidth="1"/>
    <col min="6659" max="6659" width="13.125" bestFit="1" customWidth="1"/>
    <col min="6660" max="6660" width="20.125" customWidth="1"/>
    <col min="6661" max="6661" width="18.125" customWidth="1"/>
    <col min="6662" max="6662" width="12.375" bestFit="1" customWidth="1"/>
    <col min="6663" max="6663" width="15.125" customWidth="1"/>
    <col min="6664" max="6664" width="14.5" customWidth="1"/>
    <col min="6665" max="6665" width="11.875" customWidth="1"/>
    <col min="6666" max="6666" width="17.375" customWidth="1"/>
    <col min="6667" max="6667" width="11.875" bestFit="1" customWidth="1"/>
    <col min="6668" max="6668" width="12.875" bestFit="1" customWidth="1"/>
    <col min="6669" max="6669" width="8.5" customWidth="1"/>
    <col min="6670" max="6670" width="11.625" bestFit="1" customWidth="1"/>
    <col min="6900" max="6900" width="15.25" customWidth="1"/>
    <col min="6901" max="6901" width="16" customWidth="1"/>
    <col min="6902" max="6902" width="18.125" customWidth="1"/>
    <col min="6903" max="6903" width="16" customWidth="1"/>
    <col min="6904" max="6904" width="17.125" customWidth="1"/>
    <col min="6905" max="6905" width="15.625" customWidth="1"/>
    <col min="6906" max="6906" width="15.5" customWidth="1"/>
    <col min="6907" max="6908" width="16.375" bestFit="1" customWidth="1"/>
    <col min="6909" max="6909" width="16.125" bestFit="1" customWidth="1"/>
    <col min="6910" max="6910" width="16" customWidth="1"/>
    <col min="6911" max="6911" width="15.25" customWidth="1"/>
    <col min="6912" max="6912" width="16.375" bestFit="1" customWidth="1"/>
    <col min="6913" max="6913" width="16.625" customWidth="1"/>
    <col min="6914" max="6914" width="11.875" customWidth="1"/>
    <col min="6915" max="6915" width="13.125" bestFit="1" customWidth="1"/>
    <col min="6916" max="6916" width="20.125" customWidth="1"/>
    <col min="6917" max="6917" width="18.125" customWidth="1"/>
    <col min="6918" max="6918" width="12.375" bestFit="1" customWidth="1"/>
    <col min="6919" max="6919" width="15.125" customWidth="1"/>
    <col min="6920" max="6920" width="14.5" customWidth="1"/>
    <col min="6921" max="6921" width="11.875" customWidth="1"/>
    <col min="6922" max="6922" width="17.375" customWidth="1"/>
    <col min="6923" max="6923" width="11.875" bestFit="1" customWidth="1"/>
    <col min="6924" max="6924" width="12.875" bestFit="1" customWidth="1"/>
    <col min="6925" max="6925" width="8.5" customWidth="1"/>
    <col min="6926" max="6926" width="11.625" bestFit="1" customWidth="1"/>
    <col min="7156" max="7156" width="15.25" customWidth="1"/>
    <col min="7157" max="7157" width="16" customWidth="1"/>
    <col min="7158" max="7158" width="18.125" customWidth="1"/>
    <col min="7159" max="7159" width="16" customWidth="1"/>
    <col min="7160" max="7160" width="17.125" customWidth="1"/>
    <col min="7161" max="7161" width="15.625" customWidth="1"/>
    <col min="7162" max="7162" width="15.5" customWidth="1"/>
    <col min="7163" max="7164" width="16.375" bestFit="1" customWidth="1"/>
    <col min="7165" max="7165" width="16.125" bestFit="1" customWidth="1"/>
    <col min="7166" max="7166" width="16" customWidth="1"/>
    <col min="7167" max="7167" width="15.25" customWidth="1"/>
    <col min="7168" max="7168" width="16.375" bestFit="1" customWidth="1"/>
    <col min="7169" max="7169" width="16.625" customWidth="1"/>
    <col min="7170" max="7170" width="11.875" customWidth="1"/>
    <col min="7171" max="7171" width="13.125" bestFit="1" customWidth="1"/>
    <col min="7172" max="7172" width="20.125" customWidth="1"/>
    <col min="7173" max="7173" width="18.125" customWidth="1"/>
    <col min="7174" max="7174" width="12.375" bestFit="1" customWidth="1"/>
    <col min="7175" max="7175" width="15.125" customWidth="1"/>
    <col min="7176" max="7176" width="14.5" customWidth="1"/>
    <col min="7177" max="7177" width="11.875" customWidth="1"/>
    <col min="7178" max="7178" width="17.375" customWidth="1"/>
    <col min="7179" max="7179" width="11.875" bestFit="1" customWidth="1"/>
    <col min="7180" max="7180" width="12.875" bestFit="1" customWidth="1"/>
    <col min="7181" max="7181" width="8.5" customWidth="1"/>
    <col min="7182" max="7182" width="11.625" bestFit="1" customWidth="1"/>
    <col min="7412" max="7412" width="15.25" customWidth="1"/>
    <col min="7413" max="7413" width="16" customWidth="1"/>
    <col min="7414" max="7414" width="18.125" customWidth="1"/>
    <col min="7415" max="7415" width="16" customWidth="1"/>
    <col min="7416" max="7416" width="17.125" customWidth="1"/>
    <col min="7417" max="7417" width="15.625" customWidth="1"/>
    <col min="7418" max="7418" width="15.5" customWidth="1"/>
    <col min="7419" max="7420" width="16.375" bestFit="1" customWidth="1"/>
    <col min="7421" max="7421" width="16.125" bestFit="1" customWidth="1"/>
    <col min="7422" max="7422" width="16" customWidth="1"/>
    <col min="7423" max="7423" width="15.25" customWidth="1"/>
    <col min="7424" max="7424" width="16.375" bestFit="1" customWidth="1"/>
    <col min="7425" max="7425" width="16.625" customWidth="1"/>
    <col min="7426" max="7426" width="11.875" customWidth="1"/>
    <col min="7427" max="7427" width="13.125" bestFit="1" customWidth="1"/>
    <col min="7428" max="7428" width="20.125" customWidth="1"/>
    <col min="7429" max="7429" width="18.125" customWidth="1"/>
    <col min="7430" max="7430" width="12.375" bestFit="1" customWidth="1"/>
    <col min="7431" max="7431" width="15.125" customWidth="1"/>
    <col min="7432" max="7432" width="14.5" customWidth="1"/>
    <col min="7433" max="7433" width="11.875" customWidth="1"/>
    <col min="7434" max="7434" width="17.375" customWidth="1"/>
    <col min="7435" max="7435" width="11.875" bestFit="1" customWidth="1"/>
    <col min="7436" max="7436" width="12.875" bestFit="1" customWidth="1"/>
    <col min="7437" max="7437" width="8.5" customWidth="1"/>
    <col min="7438" max="7438" width="11.625" bestFit="1" customWidth="1"/>
    <col min="7668" max="7668" width="15.25" customWidth="1"/>
    <col min="7669" max="7669" width="16" customWidth="1"/>
    <col min="7670" max="7670" width="18.125" customWidth="1"/>
    <col min="7671" max="7671" width="16" customWidth="1"/>
    <col min="7672" max="7672" width="17.125" customWidth="1"/>
    <col min="7673" max="7673" width="15.625" customWidth="1"/>
    <col min="7674" max="7674" width="15.5" customWidth="1"/>
    <col min="7675" max="7676" width="16.375" bestFit="1" customWidth="1"/>
    <col min="7677" max="7677" width="16.125" bestFit="1" customWidth="1"/>
    <col min="7678" max="7678" width="16" customWidth="1"/>
    <col min="7679" max="7679" width="15.25" customWidth="1"/>
    <col min="7680" max="7680" width="16.375" bestFit="1" customWidth="1"/>
    <col min="7681" max="7681" width="16.625" customWidth="1"/>
    <col min="7682" max="7682" width="11.875" customWidth="1"/>
    <col min="7683" max="7683" width="13.125" bestFit="1" customWidth="1"/>
    <col min="7684" max="7684" width="20.125" customWidth="1"/>
    <col min="7685" max="7685" width="18.125" customWidth="1"/>
    <col min="7686" max="7686" width="12.375" bestFit="1" customWidth="1"/>
    <col min="7687" max="7687" width="15.125" customWidth="1"/>
    <col min="7688" max="7688" width="14.5" customWidth="1"/>
    <col min="7689" max="7689" width="11.875" customWidth="1"/>
    <col min="7690" max="7690" width="17.375" customWidth="1"/>
    <col min="7691" max="7691" width="11.875" bestFit="1" customWidth="1"/>
    <col min="7692" max="7692" width="12.875" bestFit="1" customWidth="1"/>
    <col min="7693" max="7693" width="8.5" customWidth="1"/>
    <col min="7694" max="7694" width="11.625" bestFit="1" customWidth="1"/>
    <col min="7924" max="7924" width="15.25" customWidth="1"/>
    <col min="7925" max="7925" width="16" customWidth="1"/>
    <col min="7926" max="7926" width="18.125" customWidth="1"/>
    <col min="7927" max="7927" width="16" customWidth="1"/>
    <col min="7928" max="7928" width="17.125" customWidth="1"/>
    <col min="7929" max="7929" width="15.625" customWidth="1"/>
    <col min="7930" max="7930" width="15.5" customWidth="1"/>
    <col min="7931" max="7932" width="16.375" bestFit="1" customWidth="1"/>
    <col min="7933" max="7933" width="16.125" bestFit="1" customWidth="1"/>
    <col min="7934" max="7934" width="16" customWidth="1"/>
    <col min="7935" max="7935" width="15.25" customWidth="1"/>
    <col min="7936" max="7936" width="16.375" bestFit="1" customWidth="1"/>
    <col min="7937" max="7937" width="16.625" customWidth="1"/>
    <col min="7938" max="7938" width="11.875" customWidth="1"/>
    <col min="7939" max="7939" width="13.125" bestFit="1" customWidth="1"/>
    <col min="7940" max="7940" width="20.125" customWidth="1"/>
    <col min="7941" max="7941" width="18.125" customWidth="1"/>
    <col min="7942" max="7942" width="12.375" bestFit="1" customWidth="1"/>
    <col min="7943" max="7943" width="15.125" customWidth="1"/>
    <col min="7944" max="7944" width="14.5" customWidth="1"/>
    <col min="7945" max="7945" width="11.875" customWidth="1"/>
    <col min="7946" max="7946" width="17.375" customWidth="1"/>
    <col min="7947" max="7947" width="11.875" bestFit="1" customWidth="1"/>
    <col min="7948" max="7948" width="12.875" bestFit="1" customWidth="1"/>
    <col min="7949" max="7949" width="8.5" customWidth="1"/>
    <col min="7950" max="7950" width="11.625" bestFit="1" customWidth="1"/>
    <col min="8180" max="8180" width="15.25" customWidth="1"/>
    <col min="8181" max="8181" width="16" customWidth="1"/>
    <col min="8182" max="8182" width="18.125" customWidth="1"/>
    <col min="8183" max="8183" width="16" customWidth="1"/>
    <col min="8184" max="8184" width="17.125" customWidth="1"/>
    <col min="8185" max="8185" width="15.625" customWidth="1"/>
    <col min="8186" max="8186" width="15.5" customWidth="1"/>
    <col min="8187" max="8188" width="16.375" bestFit="1" customWidth="1"/>
    <col min="8189" max="8189" width="16.125" bestFit="1" customWidth="1"/>
    <col min="8190" max="8190" width="16" customWidth="1"/>
    <col min="8191" max="8191" width="15.25" customWidth="1"/>
    <col min="8192" max="8192" width="16.375" bestFit="1" customWidth="1"/>
    <col min="8193" max="8193" width="16.625" customWidth="1"/>
    <col min="8194" max="8194" width="11.875" customWidth="1"/>
    <col min="8195" max="8195" width="13.125" bestFit="1" customWidth="1"/>
    <col min="8196" max="8196" width="20.125" customWidth="1"/>
    <col min="8197" max="8197" width="18.125" customWidth="1"/>
    <col min="8198" max="8198" width="12.375" bestFit="1" customWidth="1"/>
    <col min="8199" max="8199" width="15.125" customWidth="1"/>
    <col min="8200" max="8200" width="14.5" customWidth="1"/>
    <col min="8201" max="8201" width="11.875" customWidth="1"/>
    <col min="8202" max="8202" width="17.375" customWidth="1"/>
    <col min="8203" max="8203" width="11.875" bestFit="1" customWidth="1"/>
    <col min="8204" max="8204" width="12.875" bestFit="1" customWidth="1"/>
    <col min="8205" max="8205" width="8.5" customWidth="1"/>
    <col min="8206" max="8206" width="11.625" bestFit="1" customWidth="1"/>
    <col min="8436" max="8436" width="15.25" customWidth="1"/>
    <col min="8437" max="8437" width="16" customWidth="1"/>
    <col min="8438" max="8438" width="18.125" customWidth="1"/>
    <col min="8439" max="8439" width="16" customWidth="1"/>
    <col min="8440" max="8440" width="17.125" customWidth="1"/>
    <col min="8441" max="8441" width="15.625" customWidth="1"/>
    <col min="8442" max="8442" width="15.5" customWidth="1"/>
    <col min="8443" max="8444" width="16.375" bestFit="1" customWidth="1"/>
    <col min="8445" max="8445" width="16.125" bestFit="1" customWidth="1"/>
    <col min="8446" max="8446" width="16" customWidth="1"/>
    <col min="8447" max="8447" width="15.25" customWidth="1"/>
    <col min="8448" max="8448" width="16.375" bestFit="1" customWidth="1"/>
    <col min="8449" max="8449" width="16.625" customWidth="1"/>
    <col min="8450" max="8450" width="11.875" customWidth="1"/>
    <col min="8451" max="8451" width="13.125" bestFit="1" customWidth="1"/>
    <col min="8452" max="8452" width="20.125" customWidth="1"/>
    <col min="8453" max="8453" width="18.125" customWidth="1"/>
    <col min="8454" max="8454" width="12.375" bestFit="1" customWidth="1"/>
    <col min="8455" max="8455" width="15.125" customWidth="1"/>
    <col min="8456" max="8456" width="14.5" customWidth="1"/>
    <col min="8457" max="8457" width="11.875" customWidth="1"/>
    <col min="8458" max="8458" width="17.375" customWidth="1"/>
    <col min="8459" max="8459" width="11.875" bestFit="1" customWidth="1"/>
    <col min="8460" max="8460" width="12.875" bestFit="1" customWidth="1"/>
    <col min="8461" max="8461" width="8.5" customWidth="1"/>
    <col min="8462" max="8462" width="11.625" bestFit="1" customWidth="1"/>
    <col min="8692" max="8692" width="15.25" customWidth="1"/>
    <col min="8693" max="8693" width="16" customWidth="1"/>
    <col min="8694" max="8694" width="18.125" customWidth="1"/>
    <col min="8695" max="8695" width="16" customWidth="1"/>
    <col min="8696" max="8696" width="17.125" customWidth="1"/>
    <col min="8697" max="8697" width="15.625" customWidth="1"/>
    <col min="8698" max="8698" width="15.5" customWidth="1"/>
    <col min="8699" max="8700" width="16.375" bestFit="1" customWidth="1"/>
    <col min="8701" max="8701" width="16.125" bestFit="1" customWidth="1"/>
    <col min="8702" max="8702" width="16" customWidth="1"/>
    <col min="8703" max="8703" width="15.25" customWidth="1"/>
    <col min="8704" max="8704" width="16.375" bestFit="1" customWidth="1"/>
    <col min="8705" max="8705" width="16.625" customWidth="1"/>
    <col min="8706" max="8706" width="11.875" customWidth="1"/>
    <col min="8707" max="8707" width="13.125" bestFit="1" customWidth="1"/>
    <col min="8708" max="8708" width="20.125" customWidth="1"/>
    <col min="8709" max="8709" width="18.125" customWidth="1"/>
    <col min="8710" max="8710" width="12.375" bestFit="1" customWidth="1"/>
    <col min="8711" max="8711" width="15.125" customWidth="1"/>
    <col min="8712" max="8712" width="14.5" customWidth="1"/>
    <col min="8713" max="8713" width="11.875" customWidth="1"/>
    <col min="8714" max="8714" width="17.375" customWidth="1"/>
    <col min="8715" max="8715" width="11.875" bestFit="1" customWidth="1"/>
    <col min="8716" max="8716" width="12.875" bestFit="1" customWidth="1"/>
    <col min="8717" max="8717" width="8.5" customWidth="1"/>
    <col min="8718" max="8718" width="11.625" bestFit="1" customWidth="1"/>
    <col min="8948" max="8948" width="15.25" customWidth="1"/>
    <col min="8949" max="8949" width="16" customWidth="1"/>
    <col min="8950" max="8950" width="18.125" customWidth="1"/>
    <col min="8951" max="8951" width="16" customWidth="1"/>
    <col min="8952" max="8952" width="17.125" customWidth="1"/>
    <col min="8953" max="8953" width="15.625" customWidth="1"/>
    <col min="8954" max="8954" width="15.5" customWidth="1"/>
    <col min="8955" max="8956" width="16.375" bestFit="1" customWidth="1"/>
    <col min="8957" max="8957" width="16.125" bestFit="1" customWidth="1"/>
    <col min="8958" max="8958" width="16" customWidth="1"/>
    <col min="8959" max="8959" width="15.25" customWidth="1"/>
    <col min="8960" max="8960" width="16.375" bestFit="1" customWidth="1"/>
    <col min="8961" max="8961" width="16.625" customWidth="1"/>
    <col min="8962" max="8962" width="11.875" customWidth="1"/>
    <col min="8963" max="8963" width="13.125" bestFit="1" customWidth="1"/>
    <col min="8964" max="8964" width="20.125" customWidth="1"/>
    <col min="8965" max="8965" width="18.125" customWidth="1"/>
    <col min="8966" max="8966" width="12.375" bestFit="1" customWidth="1"/>
    <col min="8967" max="8967" width="15.125" customWidth="1"/>
    <col min="8968" max="8968" width="14.5" customWidth="1"/>
    <col min="8969" max="8969" width="11.875" customWidth="1"/>
    <col min="8970" max="8970" width="17.375" customWidth="1"/>
    <col min="8971" max="8971" width="11.875" bestFit="1" customWidth="1"/>
    <col min="8972" max="8972" width="12.875" bestFit="1" customWidth="1"/>
    <col min="8973" max="8973" width="8.5" customWidth="1"/>
    <col min="8974" max="8974" width="11.625" bestFit="1" customWidth="1"/>
    <col min="9204" max="9204" width="15.25" customWidth="1"/>
    <col min="9205" max="9205" width="16" customWidth="1"/>
    <col min="9206" max="9206" width="18.125" customWidth="1"/>
    <col min="9207" max="9207" width="16" customWidth="1"/>
    <col min="9208" max="9208" width="17.125" customWidth="1"/>
    <col min="9209" max="9209" width="15.625" customWidth="1"/>
    <col min="9210" max="9210" width="15.5" customWidth="1"/>
    <col min="9211" max="9212" width="16.375" bestFit="1" customWidth="1"/>
    <col min="9213" max="9213" width="16.125" bestFit="1" customWidth="1"/>
    <col min="9214" max="9214" width="16" customWidth="1"/>
    <col min="9215" max="9215" width="15.25" customWidth="1"/>
    <col min="9216" max="9216" width="16.375" bestFit="1" customWidth="1"/>
    <col min="9217" max="9217" width="16.625" customWidth="1"/>
    <col min="9218" max="9218" width="11.875" customWidth="1"/>
    <col min="9219" max="9219" width="13.125" bestFit="1" customWidth="1"/>
    <col min="9220" max="9220" width="20.125" customWidth="1"/>
    <col min="9221" max="9221" width="18.125" customWidth="1"/>
    <col min="9222" max="9222" width="12.375" bestFit="1" customWidth="1"/>
    <col min="9223" max="9223" width="15.125" customWidth="1"/>
    <col min="9224" max="9224" width="14.5" customWidth="1"/>
    <col min="9225" max="9225" width="11.875" customWidth="1"/>
    <col min="9226" max="9226" width="17.375" customWidth="1"/>
    <col min="9227" max="9227" width="11.875" bestFit="1" customWidth="1"/>
    <col min="9228" max="9228" width="12.875" bestFit="1" customWidth="1"/>
    <col min="9229" max="9229" width="8.5" customWidth="1"/>
    <col min="9230" max="9230" width="11.625" bestFit="1" customWidth="1"/>
    <col min="9460" max="9460" width="15.25" customWidth="1"/>
    <col min="9461" max="9461" width="16" customWidth="1"/>
    <col min="9462" max="9462" width="18.125" customWidth="1"/>
    <col min="9463" max="9463" width="16" customWidth="1"/>
    <col min="9464" max="9464" width="17.125" customWidth="1"/>
    <col min="9465" max="9465" width="15.625" customWidth="1"/>
    <col min="9466" max="9466" width="15.5" customWidth="1"/>
    <col min="9467" max="9468" width="16.375" bestFit="1" customWidth="1"/>
    <col min="9469" max="9469" width="16.125" bestFit="1" customWidth="1"/>
    <col min="9470" max="9470" width="16" customWidth="1"/>
    <col min="9471" max="9471" width="15.25" customWidth="1"/>
    <col min="9472" max="9472" width="16.375" bestFit="1" customWidth="1"/>
    <col min="9473" max="9473" width="16.625" customWidth="1"/>
    <col min="9474" max="9474" width="11.875" customWidth="1"/>
    <col min="9475" max="9475" width="13.125" bestFit="1" customWidth="1"/>
    <col min="9476" max="9476" width="20.125" customWidth="1"/>
    <col min="9477" max="9477" width="18.125" customWidth="1"/>
    <col min="9478" max="9478" width="12.375" bestFit="1" customWidth="1"/>
    <col min="9479" max="9479" width="15.125" customWidth="1"/>
    <col min="9480" max="9480" width="14.5" customWidth="1"/>
    <col min="9481" max="9481" width="11.875" customWidth="1"/>
    <col min="9482" max="9482" width="17.375" customWidth="1"/>
    <col min="9483" max="9483" width="11.875" bestFit="1" customWidth="1"/>
    <col min="9484" max="9484" width="12.875" bestFit="1" customWidth="1"/>
    <col min="9485" max="9485" width="8.5" customWidth="1"/>
    <col min="9486" max="9486" width="11.625" bestFit="1" customWidth="1"/>
    <col min="9716" max="9716" width="15.25" customWidth="1"/>
    <col min="9717" max="9717" width="16" customWidth="1"/>
    <col min="9718" max="9718" width="18.125" customWidth="1"/>
    <col min="9719" max="9719" width="16" customWidth="1"/>
    <col min="9720" max="9720" width="17.125" customWidth="1"/>
    <col min="9721" max="9721" width="15.625" customWidth="1"/>
    <col min="9722" max="9722" width="15.5" customWidth="1"/>
    <col min="9723" max="9724" width="16.375" bestFit="1" customWidth="1"/>
    <col min="9725" max="9725" width="16.125" bestFit="1" customWidth="1"/>
    <col min="9726" max="9726" width="16" customWidth="1"/>
    <col min="9727" max="9727" width="15.25" customWidth="1"/>
    <col min="9728" max="9728" width="16.375" bestFit="1" customWidth="1"/>
    <col min="9729" max="9729" width="16.625" customWidth="1"/>
    <col min="9730" max="9730" width="11.875" customWidth="1"/>
    <col min="9731" max="9731" width="13.125" bestFit="1" customWidth="1"/>
    <col min="9732" max="9732" width="20.125" customWidth="1"/>
    <col min="9733" max="9733" width="18.125" customWidth="1"/>
    <col min="9734" max="9734" width="12.375" bestFit="1" customWidth="1"/>
    <col min="9735" max="9735" width="15.125" customWidth="1"/>
    <col min="9736" max="9736" width="14.5" customWidth="1"/>
    <col min="9737" max="9737" width="11.875" customWidth="1"/>
    <col min="9738" max="9738" width="17.375" customWidth="1"/>
    <col min="9739" max="9739" width="11.875" bestFit="1" customWidth="1"/>
    <col min="9740" max="9740" width="12.875" bestFit="1" customWidth="1"/>
    <col min="9741" max="9741" width="8.5" customWidth="1"/>
    <col min="9742" max="9742" width="11.625" bestFit="1" customWidth="1"/>
    <col min="9972" max="9972" width="15.25" customWidth="1"/>
    <col min="9973" max="9973" width="16" customWidth="1"/>
    <col min="9974" max="9974" width="18.125" customWidth="1"/>
    <col min="9975" max="9975" width="16" customWidth="1"/>
    <col min="9976" max="9976" width="17.125" customWidth="1"/>
    <col min="9977" max="9977" width="15.625" customWidth="1"/>
    <col min="9978" max="9978" width="15.5" customWidth="1"/>
    <col min="9979" max="9980" width="16.375" bestFit="1" customWidth="1"/>
    <col min="9981" max="9981" width="16.125" bestFit="1" customWidth="1"/>
    <col min="9982" max="9982" width="16" customWidth="1"/>
    <col min="9983" max="9983" width="15.25" customWidth="1"/>
    <col min="9984" max="9984" width="16.375" bestFit="1" customWidth="1"/>
    <col min="9985" max="9985" width="16.625" customWidth="1"/>
    <col min="9986" max="9986" width="11.875" customWidth="1"/>
    <col min="9987" max="9987" width="13.125" bestFit="1" customWidth="1"/>
    <col min="9988" max="9988" width="20.125" customWidth="1"/>
    <col min="9989" max="9989" width="18.125" customWidth="1"/>
    <col min="9990" max="9990" width="12.375" bestFit="1" customWidth="1"/>
    <col min="9991" max="9991" width="15.125" customWidth="1"/>
    <col min="9992" max="9992" width="14.5" customWidth="1"/>
    <col min="9993" max="9993" width="11.875" customWidth="1"/>
    <col min="9994" max="9994" width="17.375" customWidth="1"/>
    <col min="9995" max="9995" width="11.875" bestFit="1" customWidth="1"/>
    <col min="9996" max="9996" width="12.875" bestFit="1" customWidth="1"/>
    <col min="9997" max="9997" width="8.5" customWidth="1"/>
    <col min="9998" max="9998" width="11.625" bestFit="1" customWidth="1"/>
    <col min="10228" max="10228" width="15.25" customWidth="1"/>
    <col min="10229" max="10229" width="16" customWidth="1"/>
    <col min="10230" max="10230" width="18.125" customWidth="1"/>
    <col min="10231" max="10231" width="16" customWidth="1"/>
    <col min="10232" max="10232" width="17.125" customWidth="1"/>
    <col min="10233" max="10233" width="15.625" customWidth="1"/>
    <col min="10234" max="10234" width="15.5" customWidth="1"/>
    <col min="10235" max="10236" width="16.375" bestFit="1" customWidth="1"/>
    <col min="10237" max="10237" width="16.125" bestFit="1" customWidth="1"/>
    <col min="10238" max="10238" width="16" customWidth="1"/>
    <col min="10239" max="10239" width="15.25" customWidth="1"/>
    <col min="10240" max="10240" width="16.375" bestFit="1" customWidth="1"/>
    <col min="10241" max="10241" width="16.625" customWidth="1"/>
    <col min="10242" max="10242" width="11.875" customWidth="1"/>
    <col min="10243" max="10243" width="13.125" bestFit="1" customWidth="1"/>
    <col min="10244" max="10244" width="20.125" customWidth="1"/>
    <col min="10245" max="10245" width="18.125" customWidth="1"/>
    <col min="10246" max="10246" width="12.375" bestFit="1" customWidth="1"/>
    <col min="10247" max="10247" width="15.125" customWidth="1"/>
    <col min="10248" max="10248" width="14.5" customWidth="1"/>
    <col min="10249" max="10249" width="11.875" customWidth="1"/>
    <col min="10250" max="10250" width="17.375" customWidth="1"/>
    <col min="10251" max="10251" width="11.875" bestFit="1" customWidth="1"/>
    <col min="10252" max="10252" width="12.875" bestFit="1" customWidth="1"/>
    <col min="10253" max="10253" width="8.5" customWidth="1"/>
    <col min="10254" max="10254" width="11.625" bestFit="1" customWidth="1"/>
    <col min="10484" max="10484" width="15.25" customWidth="1"/>
    <col min="10485" max="10485" width="16" customWidth="1"/>
    <col min="10486" max="10486" width="18.125" customWidth="1"/>
    <col min="10487" max="10487" width="16" customWidth="1"/>
    <col min="10488" max="10488" width="17.125" customWidth="1"/>
    <col min="10489" max="10489" width="15.625" customWidth="1"/>
    <col min="10490" max="10490" width="15.5" customWidth="1"/>
    <col min="10491" max="10492" width="16.375" bestFit="1" customWidth="1"/>
    <col min="10493" max="10493" width="16.125" bestFit="1" customWidth="1"/>
    <col min="10494" max="10494" width="16" customWidth="1"/>
    <col min="10495" max="10495" width="15.25" customWidth="1"/>
    <col min="10496" max="10496" width="16.375" bestFit="1" customWidth="1"/>
    <col min="10497" max="10497" width="16.625" customWidth="1"/>
    <col min="10498" max="10498" width="11.875" customWidth="1"/>
    <col min="10499" max="10499" width="13.125" bestFit="1" customWidth="1"/>
    <col min="10500" max="10500" width="20.125" customWidth="1"/>
    <col min="10501" max="10501" width="18.125" customWidth="1"/>
    <col min="10502" max="10502" width="12.375" bestFit="1" customWidth="1"/>
    <col min="10503" max="10503" width="15.125" customWidth="1"/>
    <col min="10504" max="10504" width="14.5" customWidth="1"/>
    <col min="10505" max="10505" width="11.875" customWidth="1"/>
    <col min="10506" max="10506" width="17.375" customWidth="1"/>
    <col min="10507" max="10507" width="11.875" bestFit="1" customWidth="1"/>
    <col min="10508" max="10508" width="12.875" bestFit="1" customWidth="1"/>
    <col min="10509" max="10509" width="8.5" customWidth="1"/>
    <col min="10510" max="10510" width="11.625" bestFit="1" customWidth="1"/>
    <col min="10740" max="10740" width="15.25" customWidth="1"/>
    <col min="10741" max="10741" width="16" customWidth="1"/>
    <col min="10742" max="10742" width="18.125" customWidth="1"/>
    <col min="10743" max="10743" width="16" customWidth="1"/>
    <col min="10744" max="10744" width="17.125" customWidth="1"/>
    <col min="10745" max="10745" width="15.625" customWidth="1"/>
    <col min="10746" max="10746" width="15.5" customWidth="1"/>
    <col min="10747" max="10748" width="16.375" bestFit="1" customWidth="1"/>
    <col min="10749" max="10749" width="16.125" bestFit="1" customWidth="1"/>
    <col min="10750" max="10750" width="16" customWidth="1"/>
    <col min="10751" max="10751" width="15.25" customWidth="1"/>
    <col min="10752" max="10752" width="16.375" bestFit="1" customWidth="1"/>
    <col min="10753" max="10753" width="16.625" customWidth="1"/>
    <col min="10754" max="10754" width="11.875" customWidth="1"/>
    <col min="10755" max="10755" width="13.125" bestFit="1" customWidth="1"/>
    <col min="10756" max="10756" width="20.125" customWidth="1"/>
    <col min="10757" max="10757" width="18.125" customWidth="1"/>
    <col min="10758" max="10758" width="12.375" bestFit="1" customWidth="1"/>
    <col min="10759" max="10759" width="15.125" customWidth="1"/>
    <col min="10760" max="10760" width="14.5" customWidth="1"/>
    <col min="10761" max="10761" width="11.875" customWidth="1"/>
    <col min="10762" max="10762" width="17.375" customWidth="1"/>
    <col min="10763" max="10763" width="11.875" bestFit="1" customWidth="1"/>
    <col min="10764" max="10764" width="12.875" bestFit="1" customWidth="1"/>
    <col min="10765" max="10765" width="8.5" customWidth="1"/>
    <col min="10766" max="10766" width="11.625" bestFit="1" customWidth="1"/>
    <col min="10996" max="10996" width="15.25" customWidth="1"/>
    <col min="10997" max="10997" width="16" customWidth="1"/>
    <col min="10998" max="10998" width="18.125" customWidth="1"/>
    <col min="10999" max="10999" width="16" customWidth="1"/>
    <col min="11000" max="11000" width="17.125" customWidth="1"/>
    <col min="11001" max="11001" width="15.625" customWidth="1"/>
    <col min="11002" max="11002" width="15.5" customWidth="1"/>
    <col min="11003" max="11004" width="16.375" bestFit="1" customWidth="1"/>
    <col min="11005" max="11005" width="16.125" bestFit="1" customWidth="1"/>
    <col min="11006" max="11006" width="16" customWidth="1"/>
    <col min="11007" max="11007" width="15.25" customWidth="1"/>
    <col min="11008" max="11008" width="16.375" bestFit="1" customWidth="1"/>
    <col min="11009" max="11009" width="16.625" customWidth="1"/>
    <col min="11010" max="11010" width="11.875" customWidth="1"/>
    <col min="11011" max="11011" width="13.125" bestFit="1" customWidth="1"/>
    <col min="11012" max="11012" width="20.125" customWidth="1"/>
    <col min="11013" max="11013" width="18.125" customWidth="1"/>
    <col min="11014" max="11014" width="12.375" bestFit="1" customWidth="1"/>
    <col min="11015" max="11015" width="15.125" customWidth="1"/>
    <col min="11016" max="11016" width="14.5" customWidth="1"/>
    <col min="11017" max="11017" width="11.875" customWidth="1"/>
    <col min="11018" max="11018" width="17.375" customWidth="1"/>
    <col min="11019" max="11019" width="11.875" bestFit="1" customWidth="1"/>
    <col min="11020" max="11020" width="12.875" bestFit="1" customWidth="1"/>
    <col min="11021" max="11021" width="8.5" customWidth="1"/>
    <col min="11022" max="11022" width="11.625" bestFit="1" customWidth="1"/>
    <col min="11252" max="11252" width="15.25" customWidth="1"/>
    <col min="11253" max="11253" width="16" customWidth="1"/>
    <col min="11254" max="11254" width="18.125" customWidth="1"/>
    <col min="11255" max="11255" width="16" customWidth="1"/>
    <col min="11256" max="11256" width="17.125" customWidth="1"/>
    <col min="11257" max="11257" width="15.625" customWidth="1"/>
    <col min="11258" max="11258" width="15.5" customWidth="1"/>
    <col min="11259" max="11260" width="16.375" bestFit="1" customWidth="1"/>
    <col min="11261" max="11261" width="16.125" bestFit="1" customWidth="1"/>
    <col min="11262" max="11262" width="16" customWidth="1"/>
    <col min="11263" max="11263" width="15.25" customWidth="1"/>
    <col min="11264" max="11264" width="16.375" bestFit="1" customWidth="1"/>
    <col min="11265" max="11265" width="16.625" customWidth="1"/>
    <col min="11266" max="11266" width="11.875" customWidth="1"/>
    <col min="11267" max="11267" width="13.125" bestFit="1" customWidth="1"/>
    <col min="11268" max="11268" width="20.125" customWidth="1"/>
    <col min="11269" max="11269" width="18.125" customWidth="1"/>
    <col min="11270" max="11270" width="12.375" bestFit="1" customWidth="1"/>
    <col min="11271" max="11271" width="15.125" customWidth="1"/>
    <col min="11272" max="11272" width="14.5" customWidth="1"/>
    <col min="11273" max="11273" width="11.875" customWidth="1"/>
    <col min="11274" max="11274" width="17.375" customWidth="1"/>
    <col min="11275" max="11275" width="11.875" bestFit="1" customWidth="1"/>
    <col min="11276" max="11276" width="12.875" bestFit="1" customWidth="1"/>
    <col min="11277" max="11277" width="8.5" customWidth="1"/>
    <col min="11278" max="11278" width="11.625" bestFit="1" customWidth="1"/>
    <col min="11508" max="11508" width="15.25" customWidth="1"/>
    <col min="11509" max="11509" width="16" customWidth="1"/>
    <col min="11510" max="11510" width="18.125" customWidth="1"/>
    <col min="11511" max="11511" width="16" customWidth="1"/>
    <col min="11512" max="11512" width="17.125" customWidth="1"/>
    <col min="11513" max="11513" width="15.625" customWidth="1"/>
    <col min="11514" max="11514" width="15.5" customWidth="1"/>
    <col min="11515" max="11516" width="16.375" bestFit="1" customWidth="1"/>
    <col min="11517" max="11517" width="16.125" bestFit="1" customWidth="1"/>
    <col min="11518" max="11518" width="16" customWidth="1"/>
    <col min="11519" max="11519" width="15.25" customWidth="1"/>
    <col min="11520" max="11520" width="16.375" bestFit="1" customWidth="1"/>
    <col min="11521" max="11521" width="16.625" customWidth="1"/>
    <col min="11522" max="11522" width="11.875" customWidth="1"/>
    <col min="11523" max="11523" width="13.125" bestFit="1" customWidth="1"/>
    <col min="11524" max="11524" width="20.125" customWidth="1"/>
    <col min="11525" max="11525" width="18.125" customWidth="1"/>
    <col min="11526" max="11526" width="12.375" bestFit="1" customWidth="1"/>
    <col min="11527" max="11527" width="15.125" customWidth="1"/>
    <col min="11528" max="11528" width="14.5" customWidth="1"/>
    <col min="11529" max="11529" width="11.875" customWidth="1"/>
    <col min="11530" max="11530" width="17.375" customWidth="1"/>
    <col min="11531" max="11531" width="11.875" bestFit="1" customWidth="1"/>
    <col min="11532" max="11532" width="12.875" bestFit="1" customWidth="1"/>
    <col min="11533" max="11533" width="8.5" customWidth="1"/>
    <col min="11534" max="11534" width="11.625" bestFit="1" customWidth="1"/>
    <col min="11764" max="11764" width="15.25" customWidth="1"/>
    <col min="11765" max="11765" width="16" customWidth="1"/>
    <col min="11766" max="11766" width="18.125" customWidth="1"/>
    <col min="11767" max="11767" width="16" customWidth="1"/>
    <col min="11768" max="11768" width="17.125" customWidth="1"/>
    <col min="11769" max="11769" width="15.625" customWidth="1"/>
    <col min="11770" max="11770" width="15.5" customWidth="1"/>
    <col min="11771" max="11772" width="16.375" bestFit="1" customWidth="1"/>
    <col min="11773" max="11773" width="16.125" bestFit="1" customWidth="1"/>
    <col min="11774" max="11774" width="16" customWidth="1"/>
    <col min="11775" max="11775" width="15.25" customWidth="1"/>
    <col min="11776" max="11776" width="16.375" bestFit="1" customWidth="1"/>
    <col min="11777" max="11777" width="16.625" customWidth="1"/>
    <col min="11778" max="11778" width="11.875" customWidth="1"/>
    <col min="11779" max="11779" width="13.125" bestFit="1" customWidth="1"/>
    <col min="11780" max="11780" width="20.125" customWidth="1"/>
    <col min="11781" max="11781" width="18.125" customWidth="1"/>
    <col min="11782" max="11782" width="12.375" bestFit="1" customWidth="1"/>
    <col min="11783" max="11783" width="15.125" customWidth="1"/>
    <col min="11784" max="11784" width="14.5" customWidth="1"/>
    <col min="11785" max="11785" width="11.875" customWidth="1"/>
    <col min="11786" max="11786" width="17.375" customWidth="1"/>
    <col min="11787" max="11787" width="11.875" bestFit="1" customWidth="1"/>
    <col min="11788" max="11788" width="12.875" bestFit="1" customWidth="1"/>
    <col min="11789" max="11789" width="8.5" customWidth="1"/>
    <col min="11790" max="11790" width="11.625" bestFit="1" customWidth="1"/>
    <col min="12020" max="12020" width="15.25" customWidth="1"/>
    <col min="12021" max="12021" width="16" customWidth="1"/>
    <col min="12022" max="12022" width="18.125" customWidth="1"/>
    <col min="12023" max="12023" width="16" customWidth="1"/>
    <col min="12024" max="12024" width="17.125" customWidth="1"/>
    <col min="12025" max="12025" width="15.625" customWidth="1"/>
    <col min="12026" max="12026" width="15.5" customWidth="1"/>
    <col min="12027" max="12028" width="16.375" bestFit="1" customWidth="1"/>
    <col min="12029" max="12029" width="16.125" bestFit="1" customWidth="1"/>
    <col min="12030" max="12030" width="16" customWidth="1"/>
    <col min="12031" max="12031" width="15.25" customWidth="1"/>
    <col min="12032" max="12032" width="16.375" bestFit="1" customWidth="1"/>
    <col min="12033" max="12033" width="16.625" customWidth="1"/>
    <col min="12034" max="12034" width="11.875" customWidth="1"/>
    <col min="12035" max="12035" width="13.125" bestFit="1" customWidth="1"/>
    <col min="12036" max="12036" width="20.125" customWidth="1"/>
    <col min="12037" max="12037" width="18.125" customWidth="1"/>
    <col min="12038" max="12038" width="12.375" bestFit="1" customWidth="1"/>
    <col min="12039" max="12039" width="15.125" customWidth="1"/>
    <col min="12040" max="12040" width="14.5" customWidth="1"/>
    <col min="12041" max="12041" width="11.875" customWidth="1"/>
    <col min="12042" max="12042" width="17.375" customWidth="1"/>
    <col min="12043" max="12043" width="11.875" bestFit="1" customWidth="1"/>
    <col min="12044" max="12044" width="12.875" bestFit="1" customWidth="1"/>
    <col min="12045" max="12045" width="8.5" customWidth="1"/>
    <col min="12046" max="12046" width="11.625" bestFit="1" customWidth="1"/>
    <col min="12276" max="12276" width="15.25" customWidth="1"/>
    <col min="12277" max="12277" width="16" customWidth="1"/>
    <col min="12278" max="12278" width="18.125" customWidth="1"/>
    <col min="12279" max="12279" width="16" customWidth="1"/>
    <col min="12280" max="12280" width="17.125" customWidth="1"/>
    <col min="12281" max="12281" width="15.625" customWidth="1"/>
    <col min="12282" max="12282" width="15.5" customWidth="1"/>
    <col min="12283" max="12284" width="16.375" bestFit="1" customWidth="1"/>
    <col min="12285" max="12285" width="16.125" bestFit="1" customWidth="1"/>
    <col min="12286" max="12286" width="16" customWidth="1"/>
    <col min="12287" max="12287" width="15.25" customWidth="1"/>
    <col min="12288" max="12288" width="16.375" bestFit="1" customWidth="1"/>
    <col min="12289" max="12289" width="16.625" customWidth="1"/>
    <col min="12290" max="12290" width="11.875" customWidth="1"/>
    <col min="12291" max="12291" width="13.125" bestFit="1" customWidth="1"/>
    <col min="12292" max="12292" width="20.125" customWidth="1"/>
    <col min="12293" max="12293" width="18.125" customWidth="1"/>
    <col min="12294" max="12294" width="12.375" bestFit="1" customWidth="1"/>
    <col min="12295" max="12295" width="15.125" customWidth="1"/>
    <col min="12296" max="12296" width="14.5" customWidth="1"/>
    <col min="12297" max="12297" width="11.875" customWidth="1"/>
    <col min="12298" max="12298" width="17.375" customWidth="1"/>
    <col min="12299" max="12299" width="11.875" bestFit="1" customWidth="1"/>
    <col min="12300" max="12300" width="12.875" bestFit="1" customWidth="1"/>
    <col min="12301" max="12301" width="8.5" customWidth="1"/>
    <col min="12302" max="12302" width="11.625" bestFit="1" customWidth="1"/>
    <col min="12532" max="12532" width="15.25" customWidth="1"/>
    <col min="12533" max="12533" width="16" customWidth="1"/>
    <col min="12534" max="12534" width="18.125" customWidth="1"/>
    <col min="12535" max="12535" width="16" customWidth="1"/>
    <col min="12536" max="12536" width="17.125" customWidth="1"/>
    <col min="12537" max="12537" width="15.625" customWidth="1"/>
    <col min="12538" max="12538" width="15.5" customWidth="1"/>
    <col min="12539" max="12540" width="16.375" bestFit="1" customWidth="1"/>
    <col min="12541" max="12541" width="16.125" bestFit="1" customWidth="1"/>
    <col min="12542" max="12542" width="16" customWidth="1"/>
    <col min="12543" max="12543" width="15.25" customWidth="1"/>
    <col min="12544" max="12544" width="16.375" bestFit="1" customWidth="1"/>
    <col min="12545" max="12545" width="16.625" customWidth="1"/>
    <col min="12546" max="12546" width="11.875" customWidth="1"/>
    <col min="12547" max="12547" width="13.125" bestFit="1" customWidth="1"/>
    <col min="12548" max="12548" width="20.125" customWidth="1"/>
    <col min="12549" max="12549" width="18.125" customWidth="1"/>
    <col min="12550" max="12550" width="12.375" bestFit="1" customWidth="1"/>
    <col min="12551" max="12551" width="15.125" customWidth="1"/>
    <col min="12552" max="12552" width="14.5" customWidth="1"/>
    <col min="12553" max="12553" width="11.875" customWidth="1"/>
    <col min="12554" max="12554" width="17.375" customWidth="1"/>
    <col min="12555" max="12555" width="11.875" bestFit="1" customWidth="1"/>
    <col min="12556" max="12556" width="12.875" bestFit="1" customWidth="1"/>
    <col min="12557" max="12557" width="8.5" customWidth="1"/>
    <col min="12558" max="12558" width="11.625" bestFit="1" customWidth="1"/>
    <col min="12788" max="12788" width="15.25" customWidth="1"/>
    <col min="12789" max="12789" width="16" customWidth="1"/>
    <col min="12790" max="12790" width="18.125" customWidth="1"/>
    <col min="12791" max="12791" width="16" customWidth="1"/>
    <col min="12792" max="12792" width="17.125" customWidth="1"/>
    <col min="12793" max="12793" width="15.625" customWidth="1"/>
    <col min="12794" max="12794" width="15.5" customWidth="1"/>
    <col min="12795" max="12796" width="16.375" bestFit="1" customWidth="1"/>
    <col min="12797" max="12797" width="16.125" bestFit="1" customWidth="1"/>
    <col min="12798" max="12798" width="16" customWidth="1"/>
    <col min="12799" max="12799" width="15.25" customWidth="1"/>
    <col min="12800" max="12800" width="16.375" bestFit="1" customWidth="1"/>
    <col min="12801" max="12801" width="16.625" customWidth="1"/>
    <col min="12802" max="12802" width="11.875" customWidth="1"/>
    <col min="12803" max="12803" width="13.125" bestFit="1" customWidth="1"/>
    <col min="12804" max="12804" width="20.125" customWidth="1"/>
    <col min="12805" max="12805" width="18.125" customWidth="1"/>
    <col min="12806" max="12806" width="12.375" bestFit="1" customWidth="1"/>
    <col min="12807" max="12807" width="15.125" customWidth="1"/>
    <col min="12808" max="12808" width="14.5" customWidth="1"/>
    <col min="12809" max="12809" width="11.875" customWidth="1"/>
    <col min="12810" max="12810" width="17.375" customWidth="1"/>
    <col min="12811" max="12811" width="11.875" bestFit="1" customWidth="1"/>
    <col min="12812" max="12812" width="12.875" bestFit="1" customWidth="1"/>
    <col min="12813" max="12813" width="8.5" customWidth="1"/>
    <col min="12814" max="12814" width="11.625" bestFit="1" customWidth="1"/>
    <col min="13044" max="13044" width="15.25" customWidth="1"/>
    <col min="13045" max="13045" width="16" customWidth="1"/>
    <col min="13046" max="13046" width="18.125" customWidth="1"/>
    <col min="13047" max="13047" width="16" customWidth="1"/>
    <col min="13048" max="13048" width="17.125" customWidth="1"/>
    <col min="13049" max="13049" width="15.625" customWidth="1"/>
    <col min="13050" max="13050" width="15.5" customWidth="1"/>
    <col min="13051" max="13052" width="16.375" bestFit="1" customWidth="1"/>
    <col min="13053" max="13053" width="16.125" bestFit="1" customWidth="1"/>
    <col min="13054" max="13054" width="16" customWidth="1"/>
    <col min="13055" max="13055" width="15.25" customWidth="1"/>
    <col min="13056" max="13056" width="16.375" bestFit="1" customWidth="1"/>
    <col min="13057" max="13057" width="16.625" customWidth="1"/>
    <col min="13058" max="13058" width="11.875" customWidth="1"/>
    <col min="13059" max="13059" width="13.125" bestFit="1" customWidth="1"/>
    <col min="13060" max="13060" width="20.125" customWidth="1"/>
    <col min="13061" max="13061" width="18.125" customWidth="1"/>
    <col min="13062" max="13062" width="12.375" bestFit="1" customWidth="1"/>
    <col min="13063" max="13063" width="15.125" customWidth="1"/>
    <col min="13064" max="13064" width="14.5" customWidth="1"/>
    <col min="13065" max="13065" width="11.875" customWidth="1"/>
    <col min="13066" max="13066" width="17.375" customWidth="1"/>
    <col min="13067" max="13067" width="11.875" bestFit="1" customWidth="1"/>
    <col min="13068" max="13068" width="12.875" bestFit="1" customWidth="1"/>
    <col min="13069" max="13069" width="8.5" customWidth="1"/>
    <col min="13070" max="13070" width="11.625" bestFit="1" customWidth="1"/>
    <col min="13300" max="13300" width="15.25" customWidth="1"/>
    <col min="13301" max="13301" width="16" customWidth="1"/>
    <col min="13302" max="13302" width="18.125" customWidth="1"/>
    <col min="13303" max="13303" width="16" customWidth="1"/>
    <col min="13304" max="13304" width="17.125" customWidth="1"/>
    <col min="13305" max="13305" width="15.625" customWidth="1"/>
    <col min="13306" max="13306" width="15.5" customWidth="1"/>
    <col min="13307" max="13308" width="16.375" bestFit="1" customWidth="1"/>
    <col min="13309" max="13309" width="16.125" bestFit="1" customWidth="1"/>
    <col min="13310" max="13310" width="16" customWidth="1"/>
    <col min="13311" max="13311" width="15.25" customWidth="1"/>
    <col min="13312" max="13312" width="16.375" bestFit="1" customWidth="1"/>
    <col min="13313" max="13313" width="16.625" customWidth="1"/>
    <col min="13314" max="13314" width="11.875" customWidth="1"/>
    <col min="13315" max="13315" width="13.125" bestFit="1" customWidth="1"/>
    <col min="13316" max="13316" width="20.125" customWidth="1"/>
    <col min="13317" max="13317" width="18.125" customWidth="1"/>
    <col min="13318" max="13318" width="12.375" bestFit="1" customWidth="1"/>
    <col min="13319" max="13319" width="15.125" customWidth="1"/>
    <col min="13320" max="13320" width="14.5" customWidth="1"/>
    <col min="13321" max="13321" width="11.875" customWidth="1"/>
    <col min="13322" max="13322" width="17.375" customWidth="1"/>
    <col min="13323" max="13323" width="11.875" bestFit="1" customWidth="1"/>
    <col min="13324" max="13324" width="12.875" bestFit="1" customWidth="1"/>
    <col min="13325" max="13325" width="8.5" customWidth="1"/>
    <col min="13326" max="13326" width="11.625" bestFit="1" customWidth="1"/>
    <col min="13556" max="13556" width="15.25" customWidth="1"/>
    <col min="13557" max="13557" width="16" customWidth="1"/>
    <col min="13558" max="13558" width="18.125" customWidth="1"/>
    <col min="13559" max="13559" width="16" customWidth="1"/>
    <col min="13560" max="13560" width="17.125" customWidth="1"/>
    <col min="13561" max="13561" width="15.625" customWidth="1"/>
    <col min="13562" max="13562" width="15.5" customWidth="1"/>
    <col min="13563" max="13564" width="16.375" bestFit="1" customWidth="1"/>
    <col min="13565" max="13565" width="16.125" bestFit="1" customWidth="1"/>
    <col min="13566" max="13566" width="16" customWidth="1"/>
    <col min="13567" max="13567" width="15.25" customWidth="1"/>
    <col min="13568" max="13568" width="16.375" bestFit="1" customWidth="1"/>
    <col min="13569" max="13569" width="16.625" customWidth="1"/>
    <col min="13570" max="13570" width="11.875" customWidth="1"/>
    <col min="13571" max="13571" width="13.125" bestFit="1" customWidth="1"/>
    <col min="13572" max="13572" width="20.125" customWidth="1"/>
    <col min="13573" max="13573" width="18.125" customWidth="1"/>
    <col min="13574" max="13574" width="12.375" bestFit="1" customWidth="1"/>
    <col min="13575" max="13575" width="15.125" customWidth="1"/>
    <col min="13576" max="13576" width="14.5" customWidth="1"/>
    <col min="13577" max="13577" width="11.875" customWidth="1"/>
    <col min="13578" max="13578" width="17.375" customWidth="1"/>
    <col min="13579" max="13579" width="11.875" bestFit="1" customWidth="1"/>
    <col min="13580" max="13580" width="12.875" bestFit="1" customWidth="1"/>
    <col min="13581" max="13581" width="8.5" customWidth="1"/>
    <col min="13582" max="13582" width="11.625" bestFit="1" customWidth="1"/>
    <col min="13812" max="13812" width="15.25" customWidth="1"/>
    <col min="13813" max="13813" width="16" customWidth="1"/>
    <col min="13814" max="13814" width="18.125" customWidth="1"/>
    <col min="13815" max="13815" width="16" customWidth="1"/>
    <col min="13816" max="13816" width="17.125" customWidth="1"/>
    <col min="13817" max="13817" width="15.625" customWidth="1"/>
    <col min="13818" max="13818" width="15.5" customWidth="1"/>
    <col min="13819" max="13820" width="16.375" bestFit="1" customWidth="1"/>
    <col min="13821" max="13821" width="16.125" bestFit="1" customWidth="1"/>
    <col min="13822" max="13822" width="16" customWidth="1"/>
    <col min="13823" max="13823" width="15.25" customWidth="1"/>
    <col min="13824" max="13824" width="16.375" bestFit="1" customWidth="1"/>
    <col min="13825" max="13825" width="16.625" customWidth="1"/>
    <col min="13826" max="13826" width="11.875" customWidth="1"/>
    <col min="13827" max="13827" width="13.125" bestFit="1" customWidth="1"/>
    <col min="13828" max="13828" width="20.125" customWidth="1"/>
    <col min="13829" max="13829" width="18.125" customWidth="1"/>
    <col min="13830" max="13830" width="12.375" bestFit="1" customWidth="1"/>
    <col min="13831" max="13831" width="15.125" customWidth="1"/>
    <col min="13832" max="13832" width="14.5" customWidth="1"/>
    <col min="13833" max="13833" width="11.875" customWidth="1"/>
    <col min="13834" max="13834" width="17.375" customWidth="1"/>
    <col min="13835" max="13835" width="11.875" bestFit="1" customWidth="1"/>
    <col min="13836" max="13836" width="12.875" bestFit="1" customWidth="1"/>
    <col min="13837" max="13837" width="8.5" customWidth="1"/>
    <col min="13838" max="13838" width="11.625" bestFit="1" customWidth="1"/>
    <col min="14068" max="14068" width="15.25" customWidth="1"/>
    <col min="14069" max="14069" width="16" customWidth="1"/>
    <col min="14070" max="14070" width="18.125" customWidth="1"/>
    <col min="14071" max="14071" width="16" customWidth="1"/>
    <col min="14072" max="14072" width="17.125" customWidth="1"/>
    <col min="14073" max="14073" width="15.625" customWidth="1"/>
    <col min="14074" max="14074" width="15.5" customWidth="1"/>
    <col min="14075" max="14076" width="16.375" bestFit="1" customWidth="1"/>
    <col min="14077" max="14077" width="16.125" bestFit="1" customWidth="1"/>
    <col min="14078" max="14078" width="16" customWidth="1"/>
    <col min="14079" max="14079" width="15.25" customWidth="1"/>
    <col min="14080" max="14080" width="16.375" bestFit="1" customWidth="1"/>
    <col min="14081" max="14081" width="16.625" customWidth="1"/>
    <col min="14082" max="14082" width="11.875" customWidth="1"/>
    <col min="14083" max="14083" width="13.125" bestFit="1" customWidth="1"/>
    <col min="14084" max="14084" width="20.125" customWidth="1"/>
    <col min="14085" max="14085" width="18.125" customWidth="1"/>
    <col min="14086" max="14086" width="12.375" bestFit="1" customWidth="1"/>
    <col min="14087" max="14087" width="15.125" customWidth="1"/>
    <col min="14088" max="14088" width="14.5" customWidth="1"/>
    <col min="14089" max="14089" width="11.875" customWidth="1"/>
    <col min="14090" max="14090" width="17.375" customWidth="1"/>
    <col min="14091" max="14091" width="11.875" bestFit="1" customWidth="1"/>
    <col min="14092" max="14092" width="12.875" bestFit="1" customWidth="1"/>
    <col min="14093" max="14093" width="8.5" customWidth="1"/>
    <col min="14094" max="14094" width="11.625" bestFit="1" customWidth="1"/>
    <col min="14324" max="14324" width="15.25" customWidth="1"/>
    <col min="14325" max="14325" width="16" customWidth="1"/>
    <col min="14326" max="14326" width="18.125" customWidth="1"/>
    <col min="14327" max="14327" width="16" customWidth="1"/>
    <col min="14328" max="14328" width="17.125" customWidth="1"/>
    <col min="14329" max="14329" width="15.625" customWidth="1"/>
    <col min="14330" max="14330" width="15.5" customWidth="1"/>
    <col min="14331" max="14332" width="16.375" bestFit="1" customWidth="1"/>
    <col min="14333" max="14333" width="16.125" bestFit="1" customWidth="1"/>
    <col min="14334" max="14334" width="16" customWidth="1"/>
    <col min="14335" max="14335" width="15.25" customWidth="1"/>
    <col min="14336" max="14336" width="16.375" bestFit="1" customWidth="1"/>
    <col min="14337" max="14337" width="16.625" customWidth="1"/>
    <col min="14338" max="14338" width="11.875" customWidth="1"/>
    <col min="14339" max="14339" width="13.125" bestFit="1" customWidth="1"/>
    <col min="14340" max="14340" width="20.125" customWidth="1"/>
    <col min="14341" max="14341" width="18.125" customWidth="1"/>
    <col min="14342" max="14342" width="12.375" bestFit="1" customWidth="1"/>
    <col min="14343" max="14343" width="15.125" customWidth="1"/>
    <col min="14344" max="14344" width="14.5" customWidth="1"/>
    <col min="14345" max="14345" width="11.875" customWidth="1"/>
    <col min="14346" max="14346" width="17.375" customWidth="1"/>
    <col min="14347" max="14347" width="11.875" bestFit="1" customWidth="1"/>
    <col min="14348" max="14348" width="12.875" bestFit="1" customWidth="1"/>
    <col min="14349" max="14349" width="8.5" customWidth="1"/>
    <col min="14350" max="14350" width="11.625" bestFit="1" customWidth="1"/>
    <col min="14580" max="14580" width="15.25" customWidth="1"/>
    <col min="14581" max="14581" width="16" customWidth="1"/>
    <col min="14582" max="14582" width="18.125" customWidth="1"/>
    <col min="14583" max="14583" width="16" customWidth="1"/>
    <col min="14584" max="14584" width="17.125" customWidth="1"/>
    <col min="14585" max="14585" width="15.625" customWidth="1"/>
    <col min="14586" max="14586" width="15.5" customWidth="1"/>
    <col min="14587" max="14588" width="16.375" bestFit="1" customWidth="1"/>
    <col min="14589" max="14589" width="16.125" bestFit="1" customWidth="1"/>
    <col min="14590" max="14590" width="16" customWidth="1"/>
    <col min="14591" max="14591" width="15.25" customWidth="1"/>
    <col min="14592" max="14592" width="16.375" bestFit="1" customWidth="1"/>
    <col min="14593" max="14593" width="16.625" customWidth="1"/>
    <col min="14594" max="14594" width="11.875" customWidth="1"/>
    <col min="14595" max="14595" width="13.125" bestFit="1" customWidth="1"/>
    <col min="14596" max="14596" width="20.125" customWidth="1"/>
    <col min="14597" max="14597" width="18.125" customWidth="1"/>
    <col min="14598" max="14598" width="12.375" bestFit="1" customWidth="1"/>
    <col min="14599" max="14599" width="15.125" customWidth="1"/>
    <col min="14600" max="14600" width="14.5" customWidth="1"/>
    <col min="14601" max="14601" width="11.875" customWidth="1"/>
    <col min="14602" max="14602" width="17.375" customWidth="1"/>
    <col min="14603" max="14603" width="11.875" bestFit="1" customWidth="1"/>
    <col min="14604" max="14604" width="12.875" bestFit="1" customWidth="1"/>
    <col min="14605" max="14605" width="8.5" customWidth="1"/>
    <col min="14606" max="14606" width="11.625" bestFit="1" customWidth="1"/>
    <col min="14836" max="14836" width="15.25" customWidth="1"/>
    <col min="14837" max="14837" width="16" customWidth="1"/>
    <col min="14838" max="14838" width="18.125" customWidth="1"/>
    <col min="14839" max="14839" width="16" customWidth="1"/>
    <col min="14840" max="14840" width="17.125" customWidth="1"/>
    <col min="14841" max="14841" width="15.625" customWidth="1"/>
    <col min="14842" max="14842" width="15.5" customWidth="1"/>
    <col min="14843" max="14844" width="16.375" bestFit="1" customWidth="1"/>
    <col min="14845" max="14845" width="16.125" bestFit="1" customWidth="1"/>
    <col min="14846" max="14846" width="16" customWidth="1"/>
    <col min="14847" max="14847" width="15.25" customWidth="1"/>
    <col min="14848" max="14848" width="16.375" bestFit="1" customWidth="1"/>
    <col min="14849" max="14849" width="16.625" customWidth="1"/>
    <col min="14850" max="14850" width="11.875" customWidth="1"/>
    <col min="14851" max="14851" width="13.125" bestFit="1" customWidth="1"/>
    <col min="14852" max="14852" width="20.125" customWidth="1"/>
    <col min="14853" max="14853" width="18.125" customWidth="1"/>
    <col min="14854" max="14854" width="12.375" bestFit="1" customWidth="1"/>
    <col min="14855" max="14855" width="15.125" customWidth="1"/>
    <col min="14856" max="14856" width="14.5" customWidth="1"/>
    <col min="14857" max="14857" width="11.875" customWidth="1"/>
    <col min="14858" max="14858" width="17.375" customWidth="1"/>
    <col min="14859" max="14859" width="11.875" bestFit="1" customWidth="1"/>
    <col min="14860" max="14860" width="12.875" bestFit="1" customWidth="1"/>
    <col min="14861" max="14861" width="8.5" customWidth="1"/>
    <col min="14862" max="14862" width="11.625" bestFit="1" customWidth="1"/>
    <col min="15092" max="15092" width="15.25" customWidth="1"/>
    <col min="15093" max="15093" width="16" customWidth="1"/>
    <col min="15094" max="15094" width="18.125" customWidth="1"/>
    <col min="15095" max="15095" width="16" customWidth="1"/>
    <col min="15096" max="15096" width="17.125" customWidth="1"/>
    <col min="15097" max="15097" width="15.625" customWidth="1"/>
    <col min="15098" max="15098" width="15.5" customWidth="1"/>
    <col min="15099" max="15100" width="16.375" bestFit="1" customWidth="1"/>
    <col min="15101" max="15101" width="16.125" bestFit="1" customWidth="1"/>
    <col min="15102" max="15102" width="16" customWidth="1"/>
    <col min="15103" max="15103" width="15.25" customWidth="1"/>
    <col min="15104" max="15104" width="16.375" bestFit="1" customWidth="1"/>
    <col min="15105" max="15105" width="16.625" customWidth="1"/>
    <col min="15106" max="15106" width="11.875" customWidth="1"/>
    <col min="15107" max="15107" width="13.125" bestFit="1" customWidth="1"/>
    <col min="15108" max="15108" width="20.125" customWidth="1"/>
    <col min="15109" max="15109" width="18.125" customWidth="1"/>
    <col min="15110" max="15110" width="12.375" bestFit="1" customWidth="1"/>
    <col min="15111" max="15111" width="15.125" customWidth="1"/>
    <col min="15112" max="15112" width="14.5" customWidth="1"/>
    <col min="15113" max="15113" width="11.875" customWidth="1"/>
    <col min="15114" max="15114" width="17.375" customWidth="1"/>
    <col min="15115" max="15115" width="11.875" bestFit="1" customWidth="1"/>
    <col min="15116" max="15116" width="12.875" bestFit="1" customWidth="1"/>
    <col min="15117" max="15117" width="8.5" customWidth="1"/>
    <col min="15118" max="15118" width="11.625" bestFit="1" customWidth="1"/>
    <col min="15348" max="15348" width="15.25" customWidth="1"/>
    <col min="15349" max="15349" width="16" customWidth="1"/>
    <col min="15350" max="15350" width="18.125" customWidth="1"/>
    <col min="15351" max="15351" width="16" customWidth="1"/>
    <col min="15352" max="15352" width="17.125" customWidth="1"/>
    <col min="15353" max="15353" width="15.625" customWidth="1"/>
    <col min="15354" max="15354" width="15.5" customWidth="1"/>
    <col min="15355" max="15356" width="16.375" bestFit="1" customWidth="1"/>
    <col min="15357" max="15357" width="16.125" bestFit="1" customWidth="1"/>
    <col min="15358" max="15358" width="16" customWidth="1"/>
    <col min="15359" max="15359" width="15.25" customWidth="1"/>
    <col min="15360" max="15360" width="16.375" bestFit="1" customWidth="1"/>
    <col min="15361" max="15361" width="16.625" customWidth="1"/>
    <col min="15362" max="15362" width="11.875" customWidth="1"/>
    <col min="15363" max="15363" width="13.125" bestFit="1" customWidth="1"/>
    <col min="15364" max="15364" width="20.125" customWidth="1"/>
    <col min="15365" max="15365" width="18.125" customWidth="1"/>
    <col min="15366" max="15366" width="12.375" bestFit="1" customWidth="1"/>
    <col min="15367" max="15367" width="15.125" customWidth="1"/>
    <col min="15368" max="15368" width="14.5" customWidth="1"/>
    <col min="15369" max="15369" width="11.875" customWidth="1"/>
    <col min="15370" max="15370" width="17.375" customWidth="1"/>
    <col min="15371" max="15371" width="11.875" bestFit="1" customWidth="1"/>
    <col min="15372" max="15372" width="12.875" bestFit="1" customWidth="1"/>
    <col min="15373" max="15373" width="8.5" customWidth="1"/>
    <col min="15374" max="15374" width="11.625" bestFit="1" customWidth="1"/>
    <col min="15604" max="15604" width="15.25" customWidth="1"/>
    <col min="15605" max="15605" width="16" customWidth="1"/>
    <col min="15606" max="15606" width="18.125" customWidth="1"/>
    <col min="15607" max="15607" width="16" customWidth="1"/>
    <col min="15608" max="15608" width="17.125" customWidth="1"/>
    <col min="15609" max="15609" width="15.625" customWidth="1"/>
    <col min="15610" max="15610" width="15.5" customWidth="1"/>
    <col min="15611" max="15612" width="16.375" bestFit="1" customWidth="1"/>
    <col min="15613" max="15613" width="16.125" bestFit="1" customWidth="1"/>
    <col min="15614" max="15614" width="16" customWidth="1"/>
    <col min="15615" max="15615" width="15.25" customWidth="1"/>
    <col min="15616" max="15616" width="16.375" bestFit="1" customWidth="1"/>
    <col min="15617" max="15617" width="16.625" customWidth="1"/>
    <col min="15618" max="15618" width="11.875" customWidth="1"/>
    <col min="15619" max="15619" width="13.125" bestFit="1" customWidth="1"/>
    <col min="15620" max="15620" width="20.125" customWidth="1"/>
    <col min="15621" max="15621" width="18.125" customWidth="1"/>
    <col min="15622" max="15622" width="12.375" bestFit="1" customWidth="1"/>
    <col min="15623" max="15623" width="15.125" customWidth="1"/>
    <col min="15624" max="15624" width="14.5" customWidth="1"/>
    <col min="15625" max="15625" width="11.875" customWidth="1"/>
    <col min="15626" max="15626" width="17.375" customWidth="1"/>
    <col min="15627" max="15627" width="11.875" bestFit="1" customWidth="1"/>
    <col min="15628" max="15628" width="12.875" bestFit="1" customWidth="1"/>
    <col min="15629" max="15629" width="8.5" customWidth="1"/>
    <col min="15630" max="15630" width="11.625" bestFit="1" customWidth="1"/>
    <col min="15860" max="15860" width="15.25" customWidth="1"/>
    <col min="15861" max="15861" width="16" customWidth="1"/>
    <col min="15862" max="15862" width="18.125" customWidth="1"/>
    <col min="15863" max="15863" width="16" customWidth="1"/>
    <col min="15864" max="15864" width="17.125" customWidth="1"/>
    <col min="15865" max="15865" width="15.625" customWidth="1"/>
    <col min="15866" max="15866" width="15.5" customWidth="1"/>
    <col min="15867" max="15868" width="16.375" bestFit="1" customWidth="1"/>
    <col min="15869" max="15869" width="16.125" bestFit="1" customWidth="1"/>
    <col min="15870" max="15870" width="16" customWidth="1"/>
    <col min="15871" max="15871" width="15.25" customWidth="1"/>
    <col min="15872" max="15872" width="16.375" bestFit="1" customWidth="1"/>
    <col min="15873" max="15873" width="16.625" customWidth="1"/>
    <col min="15874" max="15874" width="11.875" customWidth="1"/>
    <col min="15875" max="15875" width="13.125" bestFit="1" customWidth="1"/>
    <col min="15876" max="15876" width="20.125" customWidth="1"/>
    <col min="15877" max="15877" width="18.125" customWidth="1"/>
    <col min="15878" max="15878" width="12.375" bestFit="1" customWidth="1"/>
    <col min="15879" max="15879" width="15.125" customWidth="1"/>
    <col min="15880" max="15880" width="14.5" customWidth="1"/>
    <col min="15881" max="15881" width="11.875" customWidth="1"/>
    <col min="15882" max="15882" width="17.375" customWidth="1"/>
    <col min="15883" max="15883" width="11.875" bestFit="1" customWidth="1"/>
    <col min="15884" max="15884" width="12.875" bestFit="1" customWidth="1"/>
    <col min="15885" max="15885" width="8.5" customWidth="1"/>
    <col min="15886" max="15886" width="11.625" bestFit="1" customWidth="1"/>
    <col min="16116" max="16116" width="15.25" customWidth="1"/>
    <col min="16117" max="16117" width="16" customWidth="1"/>
    <col min="16118" max="16118" width="18.125" customWidth="1"/>
    <col min="16119" max="16119" width="16" customWidth="1"/>
    <col min="16120" max="16120" width="17.125" customWidth="1"/>
    <col min="16121" max="16121" width="15.625" customWidth="1"/>
    <col min="16122" max="16122" width="15.5" customWidth="1"/>
    <col min="16123" max="16124" width="16.375" bestFit="1" customWidth="1"/>
    <col min="16125" max="16125" width="16.125" bestFit="1" customWidth="1"/>
    <col min="16126" max="16126" width="16" customWidth="1"/>
    <col min="16127" max="16127" width="15.25" customWidth="1"/>
    <col min="16128" max="16128" width="16.375" bestFit="1" customWidth="1"/>
    <col min="16129" max="16129" width="16.625" customWidth="1"/>
    <col min="16130" max="16130" width="11.875" customWidth="1"/>
    <col min="16131" max="16131" width="13.125" bestFit="1" customWidth="1"/>
    <col min="16132" max="16132" width="20.125" customWidth="1"/>
    <col min="16133" max="16133" width="18.125" customWidth="1"/>
    <col min="16134" max="16134" width="12.375" bestFit="1" customWidth="1"/>
    <col min="16135" max="16135" width="15.125" customWidth="1"/>
    <col min="16136" max="16136" width="14.5" customWidth="1"/>
    <col min="16137" max="16137" width="11.875" customWidth="1"/>
    <col min="16138" max="16138" width="17.375" customWidth="1"/>
    <col min="16139" max="16139" width="11.875" bestFit="1" customWidth="1"/>
    <col min="16140" max="16140" width="12.875" bestFit="1" customWidth="1"/>
    <col min="16141" max="16141" width="8.5" customWidth="1"/>
    <col min="16142" max="16142" width="11.625" bestFit="1" customWidth="1"/>
  </cols>
  <sheetData>
    <row r="1" spans="1:21" ht="18" customHeight="1">
      <c r="A1" s="881" t="s">
        <v>39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</row>
    <row r="2" spans="1:21" ht="18" customHeight="1">
      <c r="A2" s="881" t="s">
        <v>40</v>
      </c>
      <c r="B2" s="881"/>
      <c r="C2" s="881"/>
      <c r="D2" s="881"/>
      <c r="E2" s="881"/>
      <c r="F2" s="881"/>
      <c r="G2" s="881"/>
      <c r="H2" s="881"/>
      <c r="I2" s="881"/>
      <c r="J2" s="881"/>
      <c r="K2" s="881"/>
      <c r="L2" s="881"/>
      <c r="M2" s="881"/>
      <c r="N2" s="881"/>
    </row>
    <row r="3" spans="1:21" ht="19.5" customHeight="1">
      <c r="A3" s="881" t="s">
        <v>41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/>
    </row>
    <row r="4" spans="1:21" s="6" customFormat="1" ht="43.5" customHeight="1">
      <c r="A4" s="882" t="s">
        <v>624</v>
      </c>
      <c r="B4" s="882"/>
      <c r="C4" s="882"/>
      <c r="D4" s="882"/>
      <c r="E4" s="882"/>
      <c r="F4" s="882"/>
      <c r="G4" s="882"/>
      <c r="H4" s="882"/>
      <c r="I4" s="882"/>
      <c r="J4" s="882"/>
      <c r="K4" s="882"/>
      <c r="L4" s="882"/>
      <c r="M4" s="882"/>
      <c r="N4" s="882"/>
    </row>
    <row r="5" spans="1:21" ht="25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21" ht="39.75" customHeight="1">
      <c r="A6" s="9" t="s">
        <v>48</v>
      </c>
      <c r="B6" s="35">
        <v>45658</v>
      </c>
      <c r="C6" s="35">
        <v>45689</v>
      </c>
      <c r="D6" s="35">
        <v>45717</v>
      </c>
      <c r="E6" s="35">
        <v>45748</v>
      </c>
      <c r="F6" s="35">
        <v>45778</v>
      </c>
      <c r="G6" s="35">
        <v>45809</v>
      </c>
      <c r="H6" s="35">
        <v>45839</v>
      </c>
      <c r="I6" s="35">
        <v>45870</v>
      </c>
      <c r="J6" s="35">
        <v>45901</v>
      </c>
      <c r="K6" s="35">
        <v>45931</v>
      </c>
      <c r="L6" s="35">
        <v>45962</v>
      </c>
      <c r="M6" s="35">
        <v>45992</v>
      </c>
      <c r="N6" s="32" t="s">
        <v>49</v>
      </c>
    </row>
    <row r="7" spans="1:21" ht="39.75" customHeight="1">
      <c r="A7" s="11" t="s">
        <v>42</v>
      </c>
      <c r="B7" s="540">
        <f t="shared" ref="B7:B12" si="0">+B21+B34</f>
        <v>0</v>
      </c>
      <c r="C7" s="33">
        <f t="shared" ref="C7:M7" si="1">+C21+C34</f>
        <v>14001656.125999998</v>
      </c>
      <c r="D7" s="33">
        <f t="shared" si="1"/>
        <v>23720460.737667989</v>
      </c>
      <c r="E7" s="33">
        <f t="shared" si="1"/>
        <v>19836363.662866995</v>
      </c>
      <c r="F7" s="33">
        <f t="shared" si="1"/>
        <v>19716325.857799999</v>
      </c>
      <c r="G7" s="33">
        <f t="shared" si="1"/>
        <v>19694343.301899999</v>
      </c>
      <c r="H7" s="33">
        <f t="shared" si="1"/>
        <v>0</v>
      </c>
      <c r="I7" s="33">
        <f t="shared" ref="I7:K12" si="2">+I21+I34</f>
        <v>0</v>
      </c>
      <c r="J7" s="33">
        <f t="shared" si="2"/>
        <v>0</v>
      </c>
      <c r="K7" s="33">
        <f t="shared" si="2"/>
        <v>0</v>
      </c>
      <c r="L7" s="33">
        <f t="shared" si="1"/>
        <v>0</v>
      </c>
      <c r="M7" s="33">
        <f t="shared" si="1"/>
        <v>0</v>
      </c>
      <c r="N7" s="33">
        <f t="shared" ref="N7:N12" si="3">+N21+N34</f>
        <v>32150185.598000996</v>
      </c>
    </row>
    <row r="8" spans="1:21" ht="39" customHeight="1">
      <c r="A8" s="11" t="s">
        <v>43</v>
      </c>
      <c r="B8" s="37">
        <f t="shared" si="0"/>
        <v>0</v>
      </c>
      <c r="C8" s="33">
        <f t="shared" ref="C8:M8" si="4">+C22+C35</f>
        <v>2702190.6339999996</v>
      </c>
      <c r="D8" s="33">
        <f t="shared" si="4"/>
        <v>4007539.6569999992</v>
      </c>
      <c r="E8" s="33">
        <f t="shared" si="4"/>
        <v>3566177.4605999999</v>
      </c>
      <c r="F8" s="33">
        <f t="shared" si="4"/>
        <v>3578922.5520000001</v>
      </c>
      <c r="G8" s="33">
        <f t="shared" si="4"/>
        <v>3562981.6858999999</v>
      </c>
      <c r="H8" s="33">
        <f t="shared" si="4"/>
        <v>0</v>
      </c>
      <c r="I8" s="33">
        <f t="shared" si="2"/>
        <v>0</v>
      </c>
      <c r="J8" s="33">
        <f>+J22+J35</f>
        <v>0</v>
      </c>
      <c r="K8" s="33">
        <f t="shared" si="4"/>
        <v>0</v>
      </c>
      <c r="L8" s="33">
        <f t="shared" si="4"/>
        <v>0</v>
      </c>
      <c r="M8" s="33">
        <f t="shared" si="4"/>
        <v>0</v>
      </c>
      <c r="N8" s="33">
        <f t="shared" si="3"/>
        <v>3913984.946</v>
      </c>
    </row>
    <row r="9" spans="1:21" ht="36.75" customHeight="1">
      <c r="A9" s="11" t="s">
        <v>44</v>
      </c>
      <c r="B9" s="540">
        <f t="shared" si="0"/>
        <v>0</v>
      </c>
      <c r="C9" s="33">
        <f t="shared" ref="C9:M9" si="5">+C23+C36</f>
        <v>814858.36399999994</v>
      </c>
      <c r="D9" s="33">
        <f t="shared" si="5"/>
        <v>2603472.3510000003</v>
      </c>
      <c r="E9" s="33">
        <f t="shared" si="5"/>
        <v>2605762.3450000002</v>
      </c>
      <c r="F9" s="33">
        <f t="shared" si="5"/>
        <v>2627996.1159999999</v>
      </c>
      <c r="G9" s="33">
        <f t="shared" si="5"/>
        <v>2621390.5499999998</v>
      </c>
      <c r="H9" s="33">
        <f t="shared" si="5"/>
        <v>0</v>
      </c>
      <c r="I9" s="33">
        <f t="shared" si="2"/>
        <v>0</v>
      </c>
      <c r="J9" s="33">
        <f t="shared" si="2"/>
        <v>0</v>
      </c>
      <c r="K9" s="33">
        <f t="shared" si="5"/>
        <v>0</v>
      </c>
      <c r="L9" s="33">
        <f t="shared" si="5"/>
        <v>0</v>
      </c>
      <c r="M9" s="33">
        <f t="shared" si="5"/>
        <v>0</v>
      </c>
      <c r="N9" s="33">
        <f t="shared" si="3"/>
        <v>3632985.267</v>
      </c>
    </row>
    <row r="10" spans="1:21" ht="39" customHeight="1">
      <c r="A10" s="11" t="s">
        <v>45</v>
      </c>
      <c r="B10" s="37">
        <f t="shared" si="0"/>
        <v>0</v>
      </c>
      <c r="C10" s="33">
        <f t="shared" ref="C10:M10" si="6">+C24+C37</f>
        <v>1122687.932</v>
      </c>
      <c r="D10" s="33">
        <f t="shared" si="6"/>
        <v>2229610.21</v>
      </c>
      <c r="E10" s="33">
        <f t="shared" si="6"/>
        <v>2212831.8428000002</v>
      </c>
      <c r="F10" s="33">
        <f t="shared" si="6"/>
        <v>2229774.1840000004</v>
      </c>
      <c r="G10" s="33">
        <f t="shared" si="6"/>
        <v>2226145.81</v>
      </c>
      <c r="H10" s="33">
        <f t="shared" si="6"/>
        <v>0</v>
      </c>
      <c r="I10" s="33">
        <f t="shared" si="2"/>
        <v>0</v>
      </c>
      <c r="J10" s="33">
        <f t="shared" si="2"/>
        <v>0</v>
      </c>
      <c r="K10" s="33">
        <f t="shared" si="6"/>
        <v>0</v>
      </c>
      <c r="L10" s="33">
        <f t="shared" si="6"/>
        <v>0</v>
      </c>
      <c r="M10" s="33">
        <f t="shared" si="6"/>
        <v>0</v>
      </c>
      <c r="N10" s="33">
        <f t="shared" si="3"/>
        <v>3870397.4288000003</v>
      </c>
    </row>
    <row r="11" spans="1:21" ht="39.75" customHeight="1">
      <c r="A11" s="11" t="s">
        <v>46</v>
      </c>
      <c r="B11" s="540">
        <f t="shared" si="0"/>
        <v>0</v>
      </c>
      <c r="C11" s="33">
        <f t="shared" ref="C11:M11" si="7">+C25+C38</f>
        <v>2386689.8080000002</v>
      </c>
      <c r="D11" s="33">
        <f t="shared" si="7"/>
        <v>7157767.4579999987</v>
      </c>
      <c r="E11" s="33">
        <f t="shared" si="7"/>
        <v>4213845.826466999</v>
      </c>
      <c r="F11" s="33">
        <f t="shared" si="7"/>
        <v>4200826.7111999998</v>
      </c>
      <c r="G11" s="33">
        <f t="shared" si="7"/>
        <v>4210517.4179999996</v>
      </c>
      <c r="H11" s="33">
        <f t="shared" si="7"/>
        <v>0</v>
      </c>
      <c r="I11" s="33">
        <f t="shared" si="2"/>
        <v>0</v>
      </c>
      <c r="J11" s="33">
        <f t="shared" si="2"/>
        <v>0</v>
      </c>
      <c r="K11" s="33">
        <f t="shared" si="7"/>
        <v>0</v>
      </c>
      <c r="L11" s="33">
        <f t="shared" si="7"/>
        <v>0</v>
      </c>
      <c r="M11" s="33">
        <f t="shared" si="7"/>
        <v>0</v>
      </c>
      <c r="N11" s="33">
        <f t="shared" si="3"/>
        <v>4377573.2399999993</v>
      </c>
    </row>
    <row r="12" spans="1:21" ht="39.75" customHeight="1">
      <c r="A12" s="15" t="s">
        <v>47</v>
      </c>
      <c r="B12" s="37">
        <f t="shared" si="0"/>
        <v>0</v>
      </c>
      <c r="C12" s="33">
        <f t="shared" ref="C12:M12" si="8">+C26+C39</f>
        <v>307000.87699999998</v>
      </c>
      <c r="D12" s="33">
        <f t="shared" si="8"/>
        <v>387514.19699999999</v>
      </c>
      <c r="E12" s="33">
        <f t="shared" si="8"/>
        <v>358565.2799999998</v>
      </c>
      <c r="F12" s="33">
        <f t="shared" si="8"/>
        <v>357143.25499999995</v>
      </c>
      <c r="G12" s="33">
        <f t="shared" si="8"/>
        <v>356988.25999999995</v>
      </c>
      <c r="H12" s="33">
        <f t="shared" si="8"/>
        <v>0</v>
      </c>
      <c r="I12" s="33">
        <f t="shared" si="2"/>
        <v>0</v>
      </c>
      <c r="J12" s="33">
        <f t="shared" si="2"/>
        <v>0</v>
      </c>
      <c r="K12" s="33">
        <f t="shared" si="8"/>
        <v>0</v>
      </c>
      <c r="L12" s="33">
        <f t="shared" si="8"/>
        <v>0</v>
      </c>
      <c r="M12" s="33">
        <f t="shared" si="8"/>
        <v>0</v>
      </c>
      <c r="N12" s="33">
        <f t="shared" si="3"/>
        <v>1236247.6869999997</v>
      </c>
    </row>
    <row r="13" spans="1:21" s="18" customFormat="1" ht="41.25" customHeight="1">
      <c r="A13" s="16" t="s">
        <v>49</v>
      </c>
      <c r="B13" s="582">
        <f>SUM(B7:B12)</f>
        <v>0</v>
      </c>
      <c r="C13" s="512">
        <f>SUM(C7:C12)</f>
        <v>21335083.741</v>
      </c>
      <c r="D13" s="512">
        <f t="shared" ref="D13:M13" si="9">SUM(D7:D12)</f>
        <v>40106364.610667981</v>
      </c>
      <c r="E13" s="17">
        <f t="shared" si="9"/>
        <v>32793546.417733993</v>
      </c>
      <c r="F13" s="723">
        <f t="shared" si="9"/>
        <v>32710988.675999999</v>
      </c>
      <c r="G13" s="723">
        <f t="shared" si="9"/>
        <v>32672367.025800001</v>
      </c>
      <c r="H13" s="17">
        <f t="shared" si="9"/>
        <v>0</v>
      </c>
      <c r="I13" s="17">
        <f>SUM(I7:I12)</f>
        <v>0</v>
      </c>
      <c r="J13" s="17">
        <f t="shared" si="9"/>
        <v>0</v>
      </c>
      <c r="K13" s="17">
        <f t="shared" si="9"/>
        <v>0</v>
      </c>
      <c r="L13" s="17">
        <f t="shared" si="9"/>
        <v>0</v>
      </c>
      <c r="M13" s="17">
        <f t="shared" si="9"/>
        <v>0</v>
      </c>
      <c r="N13" s="34">
        <f>SUM(B13:M13)</f>
        <v>159618350.47120199</v>
      </c>
    </row>
    <row r="14" spans="1:21" s="6" customFormat="1" ht="18" customHeight="1">
      <c r="B14" s="19">
        <f>+B27+B40</f>
        <v>0</v>
      </c>
      <c r="C14" s="19">
        <f t="shared" ref="C14:H14" si="10">+C27+C40</f>
        <v>21335083.741</v>
      </c>
      <c r="D14" s="19">
        <f>+D27+D40</f>
        <v>40106364.610667989</v>
      </c>
      <c r="E14" s="19">
        <f t="shared" si="10"/>
        <v>32793546.417733993</v>
      </c>
      <c r="F14" s="19">
        <f t="shared" si="10"/>
        <v>32710988.675999999</v>
      </c>
      <c r="G14" s="19">
        <f t="shared" si="10"/>
        <v>32672367.025799997</v>
      </c>
      <c r="H14" s="19">
        <f t="shared" si="10"/>
        <v>0</v>
      </c>
      <c r="I14" s="19">
        <f>+I27+I40</f>
        <v>0</v>
      </c>
      <c r="J14" s="19">
        <f>+J27+J40</f>
        <v>0</v>
      </c>
      <c r="K14" s="19">
        <f>+K27+K40</f>
        <v>0</v>
      </c>
      <c r="L14" s="19">
        <f>+L27+L40</f>
        <v>0</v>
      </c>
      <c r="Q14" s="19" cm="1">
        <f t="array" ref="Q14:S14">+H13:J13</f>
        <v>0</v>
      </c>
      <c r="R14" s="6">
        <v>0</v>
      </c>
      <c r="S14" s="6">
        <v>0</v>
      </c>
      <c r="U14" s="19">
        <f>SUM(Q14:T14)</f>
        <v>0</v>
      </c>
    </row>
    <row r="15" spans="1:21" s="6" customFormat="1" ht="18" customHeight="1">
      <c r="B15" s="19">
        <f>+B14-B13</f>
        <v>0</v>
      </c>
      <c r="C15" s="19">
        <f>+C14-C13</f>
        <v>0</v>
      </c>
      <c r="D15" s="19">
        <f>+D14-D13</f>
        <v>0</v>
      </c>
      <c r="E15" s="19">
        <f t="shared" ref="E15:J15" si="11">+E14-E13</f>
        <v>0</v>
      </c>
      <c r="F15" s="19">
        <f t="shared" si="11"/>
        <v>0</v>
      </c>
      <c r="G15" s="19">
        <f t="shared" si="11"/>
        <v>0</v>
      </c>
      <c r="H15" s="19">
        <f t="shared" si="11"/>
        <v>0</v>
      </c>
      <c r="I15" s="19">
        <f t="shared" si="11"/>
        <v>0</v>
      </c>
      <c r="J15" s="19">
        <f t="shared" si="11"/>
        <v>0</v>
      </c>
      <c r="O15" s="19">
        <f>+M13+L13+K13</f>
        <v>0</v>
      </c>
    </row>
    <row r="16" spans="1:21" s="6" customFormat="1" ht="18" customHeight="1"/>
    <row r="17" spans="1:14" s="6" customFormat="1" ht="18" customHeight="1">
      <c r="A17" s="871" t="s">
        <v>50</v>
      </c>
      <c r="B17" s="871"/>
      <c r="C17" s="871"/>
      <c r="D17" s="871"/>
      <c r="E17" s="871"/>
      <c r="F17" s="871"/>
      <c r="G17" s="871"/>
      <c r="H17" s="871"/>
      <c r="I17" s="871"/>
      <c r="J17" s="871"/>
      <c r="K17" s="871"/>
      <c r="L17" s="871"/>
      <c r="M17" s="871"/>
      <c r="N17" s="871"/>
    </row>
    <row r="18" spans="1:14" s="6" customFormat="1" ht="18" customHeight="1">
      <c r="A18" s="871" t="s">
        <v>623</v>
      </c>
      <c r="B18" s="871"/>
      <c r="C18" s="871"/>
      <c r="D18" s="871"/>
      <c r="E18" s="871"/>
      <c r="F18" s="871"/>
      <c r="G18" s="871"/>
      <c r="H18" s="871"/>
      <c r="I18" s="871"/>
      <c r="J18" s="871"/>
      <c r="K18" s="871"/>
      <c r="L18" s="871"/>
      <c r="M18" s="871"/>
      <c r="N18" s="871"/>
    </row>
    <row r="19" spans="1:14" ht="30" customHeight="1"/>
    <row r="20" spans="1:14" ht="30" customHeight="1">
      <c r="A20" s="9" t="s">
        <v>48</v>
      </c>
      <c r="B20" s="35">
        <v>45658</v>
      </c>
      <c r="C20" s="35">
        <v>45689</v>
      </c>
      <c r="D20" s="35">
        <v>45717</v>
      </c>
      <c r="E20" s="35">
        <v>45748</v>
      </c>
      <c r="F20" s="35">
        <v>45778</v>
      </c>
      <c r="G20" s="35">
        <v>45809</v>
      </c>
      <c r="H20" s="35">
        <v>45839</v>
      </c>
      <c r="I20" s="35">
        <v>45870</v>
      </c>
      <c r="J20" s="35">
        <v>45901</v>
      </c>
      <c r="K20" s="35">
        <v>45931</v>
      </c>
      <c r="L20" s="35">
        <v>45962</v>
      </c>
      <c r="M20" s="35">
        <v>45992</v>
      </c>
      <c r="N20" s="32" t="s">
        <v>49</v>
      </c>
    </row>
    <row r="21" spans="1:14" ht="30" customHeight="1">
      <c r="A21" s="11" t="s">
        <v>42</v>
      </c>
      <c r="B21" s="12"/>
      <c r="C21" s="12">
        <v>6290651.1229999997</v>
      </c>
      <c r="D21" s="12">
        <v>6444890.9433339983</v>
      </c>
      <c r="E21" s="12">
        <v>6490377.8616669979</v>
      </c>
      <c r="F21" s="8">
        <v>6465245.3680000007</v>
      </c>
      <c r="G21" s="8">
        <v>6459020.3020000001</v>
      </c>
      <c r="H21" s="8"/>
      <c r="I21" s="8"/>
      <c r="J21" s="740"/>
      <c r="K21" s="766"/>
      <c r="L21" s="8"/>
      <c r="M21" s="21"/>
      <c r="N21" s="33">
        <f t="shared" ref="N21:N26" si="12">SUM(B21:M21)</f>
        <v>32150185.598000996</v>
      </c>
    </row>
    <row r="22" spans="1:14" ht="30" customHeight="1">
      <c r="A22" s="11" t="s">
        <v>43</v>
      </c>
      <c r="B22" s="12"/>
      <c r="C22" s="12">
        <v>776376.69999999984</v>
      </c>
      <c r="D22" s="12">
        <v>783798.41999999993</v>
      </c>
      <c r="E22" s="12">
        <v>783909.61999999988</v>
      </c>
      <c r="F22" s="8">
        <v>783806.02000000025</v>
      </c>
      <c r="G22" s="8">
        <v>786094.18600000034</v>
      </c>
      <c r="H22" s="8"/>
      <c r="I22" s="8"/>
      <c r="J22" s="740"/>
      <c r="K22" s="765"/>
      <c r="L22" s="8"/>
      <c r="M22" s="21"/>
      <c r="N22" s="33">
        <f t="shared" si="12"/>
        <v>3913984.946</v>
      </c>
    </row>
    <row r="23" spans="1:14" ht="30" customHeight="1">
      <c r="A23" s="11" t="s">
        <v>44</v>
      </c>
      <c r="B23" s="12"/>
      <c r="C23" s="12">
        <v>207523.997</v>
      </c>
      <c r="D23" s="12">
        <v>853989.85</v>
      </c>
      <c r="E23" s="12">
        <v>856317.85000000009</v>
      </c>
      <c r="F23" s="8">
        <v>856871.85</v>
      </c>
      <c r="G23" s="8">
        <v>858281.72</v>
      </c>
      <c r="H23" s="8"/>
      <c r="I23" s="8"/>
      <c r="J23" s="740"/>
      <c r="K23" s="8"/>
      <c r="L23" s="8"/>
      <c r="M23" s="8"/>
      <c r="N23" s="33">
        <f t="shared" si="12"/>
        <v>3632985.267</v>
      </c>
    </row>
    <row r="24" spans="1:14" ht="30" customHeight="1">
      <c r="A24" s="11" t="s">
        <v>45</v>
      </c>
      <c r="B24" s="12"/>
      <c r="C24" s="12">
        <v>693561.93200000003</v>
      </c>
      <c r="D24" s="12">
        <v>801149.21</v>
      </c>
      <c r="E24" s="12">
        <v>785885.95279999997</v>
      </c>
      <c r="F24" s="8">
        <v>795970.52399999998</v>
      </c>
      <c r="G24" s="8">
        <v>793829.81</v>
      </c>
      <c r="H24" s="8"/>
      <c r="I24" s="8"/>
      <c r="J24" s="740"/>
      <c r="K24" s="8"/>
      <c r="L24" s="8"/>
      <c r="M24" s="8"/>
      <c r="N24" s="33">
        <f t="shared" si="12"/>
        <v>3870397.4288000003</v>
      </c>
    </row>
    <row r="25" spans="1:14" ht="30" customHeight="1">
      <c r="A25" s="11" t="s">
        <v>46</v>
      </c>
      <c r="B25" s="8"/>
      <c r="C25" s="8">
        <v>726929.40700000001</v>
      </c>
      <c r="D25" s="8">
        <v>900657.28700000001</v>
      </c>
      <c r="E25" s="8">
        <v>911975.02600000007</v>
      </c>
      <c r="F25" s="8">
        <v>920478.45999999973</v>
      </c>
      <c r="G25" s="8">
        <v>917533.05999999982</v>
      </c>
      <c r="H25" s="8"/>
      <c r="I25" s="8"/>
      <c r="J25" s="740"/>
      <c r="K25" s="8"/>
      <c r="L25" s="8"/>
      <c r="M25" s="8"/>
      <c r="N25" s="33">
        <f t="shared" si="12"/>
        <v>4377573.2399999993</v>
      </c>
    </row>
    <row r="26" spans="1:14" ht="30" customHeight="1">
      <c r="A26" s="15" t="s">
        <v>47</v>
      </c>
      <c r="B26" s="12"/>
      <c r="C26" s="12">
        <v>255968.87699999998</v>
      </c>
      <c r="D26" s="12">
        <v>234643.02999999997</v>
      </c>
      <c r="E26" s="12">
        <v>248096.25999999983</v>
      </c>
      <c r="F26" s="8">
        <v>248682.25999999995</v>
      </c>
      <c r="G26" s="8">
        <v>248857.25999999995</v>
      </c>
      <c r="H26" s="12"/>
      <c r="I26" s="12"/>
      <c r="J26" s="743"/>
      <c r="K26" s="10"/>
      <c r="L26" s="10"/>
      <c r="M26" s="12"/>
      <c r="N26" s="33">
        <f t="shared" si="12"/>
        <v>1236247.6869999997</v>
      </c>
    </row>
    <row r="27" spans="1:14" s="18" customFormat="1" ht="30" customHeight="1">
      <c r="A27" s="16" t="s">
        <v>49</v>
      </c>
      <c r="B27" s="17">
        <f t="shared" ref="B27:L27" si="13">SUM(B21:B26)</f>
        <v>0</v>
      </c>
      <c r="C27" s="17">
        <f t="shared" si="13"/>
        <v>8951012.0360000003</v>
      </c>
      <c r="D27" s="17">
        <f t="shared" si="13"/>
        <v>10019128.740333999</v>
      </c>
      <c r="E27" s="17">
        <f t="shared" si="13"/>
        <v>10076562.570466999</v>
      </c>
      <c r="F27" s="723">
        <f>SUM(F$21:F$26)</f>
        <v>10071054.481999999</v>
      </c>
      <c r="G27" s="723">
        <f>SUM(G$21:G$26)</f>
        <v>10063616.338000001</v>
      </c>
      <c r="H27" s="17">
        <f t="shared" si="13"/>
        <v>0</v>
      </c>
      <c r="I27" s="17">
        <f t="shared" si="13"/>
        <v>0</v>
      </c>
      <c r="J27" s="742">
        <f>SUM(J21:J26)</f>
        <v>0</v>
      </c>
      <c r="K27" s="17">
        <f t="shared" si="13"/>
        <v>0</v>
      </c>
      <c r="L27" s="17">
        <f t="shared" si="13"/>
        <v>0</v>
      </c>
      <c r="M27" s="723">
        <f>SUM(M21:M26)</f>
        <v>0</v>
      </c>
      <c r="N27" s="34">
        <f>SUM(B27:M27)</f>
        <v>49181374.166800998</v>
      </c>
    </row>
    <row r="28" spans="1:14">
      <c r="B28" s="13"/>
      <c r="C28" s="13"/>
      <c r="H28" s="13"/>
      <c r="L28" s="22"/>
      <c r="N28" s="13"/>
    </row>
    <row r="30" spans="1:14">
      <c r="A30" s="883" t="s">
        <v>51</v>
      </c>
      <c r="B30" s="883"/>
      <c r="C30" s="883"/>
      <c r="D30" s="883"/>
      <c r="E30" s="883"/>
      <c r="F30" s="883"/>
      <c r="G30" s="883"/>
      <c r="H30" s="883"/>
      <c r="I30" s="883"/>
      <c r="J30" s="883"/>
      <c r="K30" s="883"/>
      <c r="L30" s="883"/>
      <c r="M30" s="883"/>
      <c r="N30" s="883"/>
    </row>
    <row r="31" spans="1:14" ht="19.5" customHeight="1">
      <c r="A31" s="871" t="s">
        <v>623</v>
      </c>
      <c r="B31" s="871"/>
      <c r="C31" s="871"/>
      <c r="D31" s="871"/>
      <c r="E31" s="871"/>
      <c r="F31" s="871"/>
      <c r="G31" s="871"/>
      <c r="H31" s="871"/>
      <c r="I31" s="871"/>
      <c r="J31" s="871"/>
      <c r="K31" s="871"/>
      <c r="L31" s="871"/>
      <c r="M31" s="871"/>
      <c r="N31" s="871"/>
    </row>
    <row r="33" spans="1:14" ht="30" customHeight="1">
      <c r="A33" s="9" t="s">
        <v>48</v>
      </c>
      <c r="B33" s="35">
        <v>45658</v>
      </c>
      <c r="C33" s="35">
        <v>45689</v>
      </c>
      <c r="D33" s="35">
        <v>45717</v>
      </c>
      <c r="E33" s="35">
        <v>45748</v>
      </c>
      <c r="F33" s="35">
        <v>45778</v>
      </c>
      <c r="G33" s="35">
        <v>45809</v>
      </c>
      <c r="H33" s="35">
        <v>45839</v>
      </c>
      <c r="I33" s="35">
        <v>45870</v>
      </c>
      <c r="J33" s="35">
        <v>45901</v>
      </c>
      <c r="K33" s="35">
        <v>45931</v>
      </c>
      <c r="L33" s="35">
        <v>45962</v>
      </c>
      <c r="M33" s="35">
        <v>45992</v>
      </c>
      <c r="N33" s="32" t="s">
        <v>49</v>
      </c>
    </row>
    <row r="34" spans="1:14" ht="30" customHeight="1">
      <c r="A34" s="11" t="s">
        <v>42</v>
      </c>
      <c r="B34" s="36"/>
      <c r="C34" s="553">
        <v>7711005.0029999996</v>
      </c>
      <c r="D34" s="556">
        <v>17275569.794333991</v>
      </c>
      <c r="E34" s="638">
        <v>13345985.801199995</v>
      </c>
      <c r="F34" s="638">
        <v>13251080.489799999</v>
      </c>
      <c r="G34" s="638">
        <v>13235322.999899998</v>
      </c>
      <c r="H34" s="525"/>
      <c r="I34" s="525"/>
      <c r="J34" s="525"/>
      <c r="K34" s="525"/>
      <c r="L34" s="525"/>
      <c r="M34" s="525"/>
      <c r="N34" s="33"/>
    </row>
    <row r="35" spans="1:14" ht="30" customHeight="1">
      <c r="A35" s="11" t="s">
        <v>43</v>
      </c>
      <c r="B35" s="36"/>
      <c r="C35" s="554">
        <v>1925813.9339999997</v>
      </c>
      <c r="D35" s="557">
        <v>3223741.2369999993</v>
      </c>
      <c r="E35" s="638">
        <v>2782267.8405999998</v>
      </c>
      <c r="F35" s="638">
        <v>2795116.5319999997</v>
      </c>
      <c r="G35" s="638">
        <v>2776887.4998999997</v>
      </c>
      <c r="H35" s="525"/>
      <c r="I35" s="525"/>
      <c r="J35" s="525"/>
      <c r="K35" s="525"/>
      <c r="L35" s="525"/>
      <c r="M35" s="525"/>
      <c r="N35" s="33"/>
    </row>
    <row r="36" spans="1:14" ht="30" customHeight="1">
      <c r="A36" s="11" t="s">
        <v>44</v>
      </c>
      <c r="B36" s="36"/>
      <c r="C36" s="554">
        <v>607334.36699999997</v>
      </c>
      <c r="D36" s="557">
        <v>1749482.5010000002</v>
      </c>
      <c r="E36" s="638">
        <v>1749444.4950000001</v>
      </c>
      <c r="F36" s="638">
        <v>1771124.2660000001</v>
      </c>
      <c r="G36" s="638">
        <v>1763108.83</v>
      </c>
      <c r="H36" s="525"/>
      <c r="I36" s="525"/>
      <c r="J36" s="525"/>
      <c r="K36" s="525"/>
      <c r="L36" s="525"/>
      <c r="M36" s="525"/>
      <c r="N36" s="33"/>
    </row>
    <row r="37" spans="1:14" ht="30" customHeight="1">
      <c r="A37" s="11" t="s">
        <v>45</v>
      </c>
      <c r="B37" s="36"/>
      <c r="C37" s="554">
        <v>429126</v>
      </c>
      <c r="D37" s="557">
        <v>1428461</v>
      </c>
      <c r="E37" s="638">
        <v>1426945.8900000001</v>
      </c>
      <c r="F37" s="638">
        <v>1433803.6600000001</v>
      </c>
      <c r="G37" s="638">
        <v>1432316</v>
      </c>
      <c r="H37" s="526"/>
      <c r="I37" s="525"/>
      <c r="J37" s="525"/>
      <c r="K37" s="525"/>
      <c r="L37" s="525"/>
      <c r="M37" s="525"/>
      <c r="N37" s="33"/>
    </row>
    <row r="38" spans="1:14" ht="30" customHeight="1">
      <c r="A38" s="11" t="s">
        <v>46</v>
      </c>
      <c r="B38" s="5"/>
      <c r="C38" s="554">
        <v>1659760.4010000001</v>
      </c>
      <c r="D38" s="557">
        <v>6257110.1709999992</v>
      </c>
      <c r="E38" s="638">
        <v>3301870.8004669989</v>
      </c>
      <c r="F38" s="638">
        <v>3280348.2511999998</v>
      </c>
      <c r="G38" s="638">
        <v>3292984.358</v>
      </c>
      <c r="H38" s="525"/>
      <c r="I38" s="525"/>
      <c r="J38" s="525"/>
      <c r="K38" s="525"/>
      <c r="L38" s="525"/>
      <c r="M38" s="525"/>
      <c r="N38" s="33"/>
    </row>
    <row r="39" spans="1:14" ht="30" customHeight="1">
      <c r="A39" s="15" t="s">
        <v>52</v>
      </c>
      <c r="B39" s="36"/>
      <c r="C39" s="554">
        <v>51032</v>
      </c>
      <c r="D39" s="557">
        <v>152871.16700000002</v>
      </c>
      <c r="E39" s="638">
        <v>110469.01999999999</v>
      </c>
      <c r="F39" s="638">
        <v>108460.995</v>
      </c>
      <c r="G39" s="638">
        <v>108131</v>
      </c>
      <c r="H39" s="525"/>
      <c r="I39" s="525"/>
      <c r="J39" s="525"/>
      <c r="K39" s="525"/>
      <c r="L39" s="525"/>
      <c r="M39" s="525"/>
      <c r="N39" s="33"/>
    </row>
    <row r="40" spans="1:14" s="18" customFormat="1" ht="30" customHeight="1">
      <c r="A40" s="16" t="s">
        <v>49</v>
      </c>
      <c r="B40" s="17">
        <f>SUM(B34:B39)</f>
        <v>0</v>
      </c>
      <c r="C40" s="723">
        <f>SUM(C34:C39)</f>
        <v>12384071.705</v>
      </c>
      <c r="D40" s="841">
        <f>SUM(D34:D39)</f>
        <v>30087235.870333992</v>
      </c>
      <c r="E40" s="842">
        <f>SUM(E34:E39)</f>
        <v>22716983.847266994</v>
      </c>
      <c r="F40" s="723">
        <f t="shared" ref="F40:K40" si="14">SUM(F34:F39)</f>
        <v>22639934.194000002</v>
      </c>
      <c r="G40" s="723">
        <f t="shared" si="14"/>
        <v>22608750.687799998</v>
      </c>
      <c r="H40" s="17">
        <f>SUM(H34:H39)</f>
        <v>0</v>
      </c>
      <c r="I40" s="723">
        <f>SUM(I34:I39)</f>
        <v>0</v>
      </c>
      <c r="J40" s="723">
        <f>SUM(J34:J39)</f>
        <v>0</v>
      </c>
      <c r="K40" s="512">
        <f t="shared" si="14"/>
        <v>0</v>
      </c>
      <c r="L40" s="512">
        <f>SUM(L34:L39)</f>
        <v>0</v>
      </c>
      <c r="M40" s="512">
        <f>SUM(M34:M39)</f>
        <v>0</v>
      </c>
      <c r="N40" s="34">
        <f>SUM(N34:N39)</f>
        <v>0</v>
      </c>
    </row>
    <row r="41" spans="1:14" ht="12.75" customHeight="1">
      <c r="A41" s="884" t="s">
        <v>53</v>
      </c>
      <c r="B41" s="884"/>
      <c r="C41" s="884"/>
      <c r="D41" s="884"/>
      <c r="E41" s="884"/>
      <c r="F41" s="884"/>
      <c r="G41" s="884"/>
      <c r="H41" s="884"/>
      <c r="I41" s="884"/>
      <c r="J41" s="884"/>
      <c r="K41" s="884"/>
      <c r="L41" s="884"/>
      <c r="M41" s="884"/>
      <c r="N41" s="884"/>
    </row>
    <row r="42" spans="1:14">
      <c r="B42" s="24">
        <v>4274462</v>
      </c>
      <c r="C42" s="24">
        <f>+C40-C88</f>
        <v>4610750.0000000019</v>
      </c>
      <c r="D42" s="13"/>
      <c r="H42" s="23"/>
      <c r="I42" s="13"/>
      <c r="K42" s="13"/>
      <c r="L42" s="13"/>
      <c r="M42" s="13"/>
    </row>
    <row r="43" spans="1:14">
      <c r="C43" s="13"/>
      <c r="D43" s="13"/>
      <c r="E43" s="13"/>
    </row>
    <row r="44" spans="1:14">
      <c r="C44" s="25"/>
      <c r="G44" s="13"/>
      <c r="H44" s="13"/>
      <c r="I44" s="13"/>
    </row>
    <row r="47" spans="1:14">
      <c r="A47" s="871" t="s">
        <v>39</v>
      </c>
      <c r="B47" s="871"/>
      <c r="C47" s="871"/>
      <c r="D47" s="871"/>
      <c r="E47" s="871"/>
      <c r="F47" s="871"/>
      <c r="G47" s="871"/>
      <c r="H47" s="871"/>
      <c r="I47" s="871"/>
      <c r="J47" s="871"/>
      <c r="K47" s="871"/>
      <c r="L47" s="871"/>
      <c r="M47" s="871"/>
      <c r="N47" s="871"/>
    </row>
    <row r="48" spans="1:14">
      <c r="A48" s="871" t="s">
        <v>40</v>
      </c>
      <c r="B48" s="871"/>
      <c r="C48" s="871"/>
      <c r="D48" s="871"/>
      <c r="E48" s="871"/>
      <c r="F48" s="871"/>
      <c r="G48" s="871"/>
      <c r="H48" s="871"/>
      <c r="I48" s="871"/>
      <c r="J48" s="871"/>
      <c r="K48" s="871"/>
      <c r="L48" s="871"/>
      <c r="M48" s="871"/>
      <c r="N48" s="871"/>
    </row>
    <row r="49" spans="1:14">
      <c r="A49" s="871" t="s">
        <v>54</v>
      </c>
      <c r="B49" s="871"/>
      <c r="C49" s="871"/>
      <c r="D49" s="871"/>
      <c r="E49" s="871"/>
      <c r="F49" s="871"/>
      <c r="G49" s="871"/>
      <c r="H49" s="871"/>
      <c r="I49" s="871"/>
      <c r="J49" s="871"/>
      <c r="K49" s="871"/>
      <c r="L49" s="871"/>
      <c r="M49" s="871"/>
      <c r="N49" s="871"/>
    </row>
    <row r="50" spans="1:14">
      <c r="A50" s="871" t="s">
        <v>55</v>
      </c>
      <c r="B50" s="871"/>
      <c r="C50" s="871"/>
      <c r="D50" s="871"/>
      <c r="E50" s="871"/>
      <c r="F50" s="871"/>
      <c r="G50" s="871"/>
      <c r="H50" s="871"/>
      <c r="I50" s="871"/>
      <c r="J50" s="871"/>
      <c r="K50" s="871"/>
      <c r="L50" s="871"/>
      <c r="M50" s="871"/>
      <c r="N50" s="871"/>
    </row>
    <row r="51" spans="1:14">
      <c r="A51" s="869"/>
      <c r="B51" s="869"/>
      <c r="C51" s="869"/>
      <c r="D51" s="869"/>
      <c r="E51" s="869"/>
      <c r="F51" s="869"/>
      <c r="G51" s="869"/>
      <c r="H51" s="869"/>
      <c r="I51" s="869"/>
      <c r="J51" s="869"/>
      <c r="K51" s="869"/>
      <c r="L51" s="869"/>
      <c r="M51" s="869"/>
      <c r="N51" s="869"/>
    </row>
    <row r="52" spans="1:14" ht="30.75" customHeight="1">
      <c r="A52" s="872" t="s">
        <v>625</v>
      </c>
      <c r="B52" s="872"/>
      <c r="C52" s="872"/>
      <c r="D52" s="872"/>
      <c r="E52" s="872"/>
      <c r="F52" s="872"/>
      <c r="G52" s="872"/>
      <c r="H52" s="872"/>
      <c r="I52" s="872"/>
      <c r="J52" s="872"/>
      <c r="K52" s="872"/>
      <c r="L52" s="872"/>
      <c r="M52" s="872"/>
      <c r="N52" s="872"/>
    </row>
    <row r="53" spans="1:14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>
      <c r="A54" s="9" t="s">
        <v>48</v>
      </c>
      <c r="B54" s="538">
        <v>45658</v>
      </c>
      <c r="C54" s="538">
        <v>45689</v>
      </c>
      <c r="D54" s="538">
        <v>45717</v>
      </c>
      <c r="E54" s="538">
        <v>45748</v>
      </c>
      <c r="F54" s="538">
        <v>45778</v>
      </c>
      <c r="G54" s="538">
        <v>45809</v>
      </c>
      <c r="H54" s="538">
        <v>45839</v>
      </c>
      <c r="I54" s="538">
        <v>45870</v>
      </c>
      <c r="J54" s="538">
        <v>45901</v>
      </c>
      <c r="K54" s="538">
        <v>45931</v>
      </c>
      <c r="L54" s="538">
        <v>45962</v>
      </c>
      <c r="M54" s="538">
        <v>45992</v>
      </c>
      <c r="N54" s="32" t="s">
        <v>49</v>
      </c>
    </row>
    <row r="55" spans="1:14">
      <c r="A55" s="11" t="s">
        <v>42</v>
      </c>
      <c r="B55" s="537">
        <f t="shared" ref="B55:C58" si="15">+B69+B82</f>
        <v>0</v>
      </c>
      <c r="C55" s="539">
        <f t="shared" si="15"/>
        <v>10362018.866</v>
      </c>
      <c r="D55" s="539">
        <f t="shared" ref="D55:M55" si="16">+D69+D82</f>
        <v>19938998.397667989</v>
      </c>
      <c r="E55" s="539">
        <f t="shared" si="16"/>
        <v>16215443.362866994</v>
      </c>
      <c r="F55" s="539">
        <f t="shared" si="16"/>
        <v>16097951.457800001</v>
      </c>
      <c r="G55" s="539">
        <f t="shared" si="16"/>
        <v>16080812.901899999</v>
      </c>
      <c r="H55" s="539">
        <f t="shared" si="16"/>
        <v>0</v>
      </c>
      <c r="I55" s="539">
        <f t="shared" si="16"/>
        <v>0</v>
      </c>
      <c r="J55" s="539">
        <f t="shared" si="16"/>
        <v>0</v>
      </c>
      <c r="K55" s="539">
        <f t="shared" si="16"/>
        <v>0</v>
      </c>
      <c r="L55" s="539">
        <f t="shared" si="16"/>
        <v>0</v>
      </c>
      <c r="M55" s="539">
        <f t="shared" si="16"/>
        <v>0</v>
      </c>
      <c r="N55" s="33">
        <f t="shared" ref="N55:N60" si="17">+N69+N82</f>
        <v>78695224.986234963</v>
      </c>
    </row>
    <row r="56" spans="1:14">
      <c r="A56" s="11" t="s">
        <v>43</v>
      </c>
      <c r="B56" s="537">
        <f t="shared" si="15"/>
        <v>0</v>
      </c>
      <c r="C56" s="539">
        <f t="shared" si="15"/>
        <v>2493065.2139999997</v>
      </c>
      <c r="D56" s="539">
        <f t="shared" ref="D56:M56" si="18">+D70+D83</f>
        <v>3804556.3369999994</v>
      </c>
      <c r="E56" s="539">
        <f t="shared" si="18"/>
        <v>3362974.1405999996</v>
      </c>
      <c r="F56" s="539">
        <f t="shared" si="18"/>
        <v>3378211.2319999998</v>
      </c>
      <c r="G56" s="539">
        <f t="shared" si="18"/>
        <v>3359612.3659000001</v>
      </c>
      <c r="H56" s="539">
        <f t="shared" si="18"/>
        <v>0</v>
      </c>
      <c r="I56" s="539">
        <f t="shared" si="18"/>
        <v>0</v>
      </c>
      <c r="J56" s="539">
        <f t="shared" si="18"/>
        <v>0</v>
      </c>
      <c r="K56" s="539">
        <f t="shared" si="18"/>
        <v>0</v>
      </c>
      <c r="L56" s="539">
        <f t="shared" si="18"/>
        <v>0</v>
      </c>
      <c r="M56" s="539">
        <f t="shared" si="18"/>
        <v>0</v>
      </c>
      <c r="N56" s="33">
        <f t="shared" si="17"/>
        <v>16398419.289499998</v>
      </c>
    </row>
    <row r="57" spans="1:14">
      <c r="A57" s="11" t="s">
        <v>44</v>
      </c>
      <c r="B57" s="537">
        <f t="shared" si="15"/>
        <v>0</v>
      </c>
      <c r="C57" s="539">
        <f t="shared" si="15"/>
        <v>13613.363999999998</v>
      </c>
      <c r="D57" s="539">
        <f t="shared" ref="D57:M57" si="19">+D71+D84</f>
        <v>1802386.3510000003</v>
      </c>
      <c r="E57" s="539">
        <f t="shared" si="19"/>
        <v>1804676.3450000002</v>
      </c>
      <c r="F57" s="539">
        <f t="shared" si="19"/>
        <v>1826910.1159999999</v>
      </c>
      <c r="G57" s="539">
        <f t="shared" si="19"/>
        <v>1820304.55</v>
      </c>
      <c r="H57" s="539">
        <f t="shared" si="19"/>
        <v>0</v>
      </c>
      <c r="I57" s="539">
        <f t="shared" si="19"/>
        <v>0</v>
      </c>
      <c r="J57" s="539">
        <f t="shared" si="19"/>
        <v>0</v>
      </c>
      <c r="K57" s="539">
        <f t="shared" si="19"/>
        <v>0</v>
      </c>
      <c r="L57" s="539">
        <f t="shared" si="19"/>
        <v>0</v>
      </c>
      <c r="M57" s="539">
        <f t="shared" si="19"/>
        <v>0</v>
      </c>
      <c r="N57" s="33">
        <f t="shared" si="17"/>
        <v>7267890.7260000007</v>
      </c>
    </row>
    <row r="58" spans="1:14">
      <c r="A58" s="11" t="s">
        <v>45</v>
      </c>
      <c r="B58" s="537">
        <f t="shared" si="15"/>
        <v>0</v>
      </c>
      <c r="C58" s="539">
        <f t="shared" si="15"/>
        <v>73429.462</v>
      </c>
      <c r="D58" s="539">
        <f t="shared" ref="D58:M58" si="20">+D72+D85</f>
        <v>1158351.74</v>
      </c>
      <c r="E58" s="539">
        <f t="shared" si="20"/>
        <v>1155038.3728</v>
      </c>
      <c r="F58" s="539">
        <f t="shared" si="20"/>
        <v>1161615.7140000002</v>
      </c>
      <c r="G58" s="539">
        <f t="shared" si="20"/>
        <v>1153876.3400000001</v>
      </c>
      <c r="H58" s="539">
        <f t="shared" si="20"/>
        <v>0</v>
      </c>
      <c r="I58" s="539">
        <f t="shared" si="20"/>
        <v>0</v>
      </c>
      <c r="J58" s="539">
        <f t="shared" si="20"/>
        <v>0</v>
      </c>
      <c r="K58" s="539">
        <f t="shared" si="20"/>
        <v>0</v>
      </c>
      <c r="L58" s="539">
        <f t="shared" si="20"/>
        <v>0</v>
      </c>
      <c r="M58" s="539">
        <f t="shared" si="20"/>
        <v>0</v>
      </c>
      <c r="N58" s="33">
        <f t="shared" si="17"/>
        <v>4702311.6288000001</v>
      </c>
    </row>
    <row r="59" spans="1:14">
      <c r="A59" s="11" t="s">
        <v>46</v>
      </c>
      <c r="B59" s="537">
        <f t="shared" ref="B59:B60" si="21">+B73+B86</f>
        <v>0</v>
      </c>
      <c r="C59" s="539">
        <f t="shared" ref="C59:M59" si="22">+C73+C86</f>
        <v>913236.24799999991</v>
      </c>
      <c r="D59" s="539">
        <f t="shared" si="22"/>
        <v>5702702.6979999989</v>
      </c>
      <c r="E59" s="539">
        <f t="shared" si="22"/>
        <v>2765896.8564669993</v>
      </c>
      <c r="F59" s="539">
        <f t="shared" si="22"/>
        <v>2741303.9511999995</v>
      </c>
      <c r="G59" s="539">
        <f t="shared" si="22"/>
        <v>2759398.6579999998</v>
      </c>
      <c r="H59" s="539">
        <f t="shared" si="22"/>
        <v>0</v>
      </c>
      <c r="I59" s="539">
        <f t="shared" si="22"/>
        <v>0</v>
      </c>
      <c r="J59" s="539">
        <f t="shared" si="22"/>
        <v>0</v>
      </c>
      <c r="K59" s="539">
        <f t="shared" si="22"/>
        <v>0</v>
      </c>
      <c r="L59" s="539">
        <f t="shared" si="22"/>
        <v>0</v>
      </c>
      <c r="M59" s="539">
        <f t="shared" si="22"/>
        <v>0</v>
      </c>
      <c r="N59" s="33">
        <f t="shared" si="17"/>
        <v>14882538.411666997</v>
      </c>
    </row>
    <row r="60" spans="1:14">
      <c r="A60" s="15" t="s">
        <v>47</v>
      </c>
      <c r="B60" s="537">
        <f t="shared" si="21"/>
        <v>0</v>
      </c>
      <c r="C60" s="539">
        <f t="shared" ref="C60:M60" si="23">+C74+C87</f>
        <v>225192.23699999999</v>
      </c>
      <c r="D60" s="539">
        <f t="shared" si="23"/>
        <v>281970.55699999997</v>
      </c>
      <c r="E60" s="539">
        <f t="shared" si="23"/>
        <v>251156.63999999984</v>
      </c>
      <c r="F60" s="539">
        <f t="shared" si="23"/>
        <v>249734.61499999996</v>
      </c>
      <c r="G60" s="539">
        <f t="shared" si="23"/>
        <v>249647.61999999997</v>
      </c>
      <c r="H60" s="539">
        <f t="shared" si="23"/>
        <v>0</v>
      </c>
      <c r="I60" s="539">
        <f t="shared" si="23"/>
        <v>0</v>
      </c>
      <c r="J60" s="539">
        <f t="shared" si="23"/>
        <v>0</v>
      </c>
      <c r="K60" s="539">
        <f t="shared" si="23"/>
        <v>0</v>
      </c>
      <c r="L60" s="539">
        <f t="shared" si="23"/>
        <v>0</v>
      </c>
      <c r="M60" s="539">
        <f t="shared" si="23"/>
        <v>0</v>
      </c>
      <c r="N60" s="33">
        <f t="shared" si="17"/>
        <v>1257701.6689999998</v>
      </c>
    </row>
    <row r="61" spans="1:14">
      <c r="A61" s="16" t="s">
        <v>49</v>
      </c>
      <c r="B61" s="536">
        <f>SUM(B55:B60)</f>
        <v>0</v>
      </c>
      <c r="C61" s="535">
        <f>SUM(C55:C60)</f>
        <v>14080555.390999999</v>
      </c>
      <c r="D61" s="539">
        <f t="shared" ref="D61:M61" si="24">+D75+D88</f>
        <v>32688966.080667987</v>
      </c>
      <c r="E61" s="539">
        <f t="shared" si="24"/>
        <v>25555185.71773399</v>
      </c>
      <c r="F61" s="539">
        <f t="shared" si="24"/>
        <v>25455727.086000003</v>
      </c>
      <c r="G61" s="539">
        <f t="shared" si="24"/>
        <v>25423652.435800001</v>
      </c>
      <c r="H61" s="539">
        <f>+H75+H88</f>
        <v>0</v>
      </c>
      <c r="I61" s="539">
        <f t="shared" si="24"/>
        <v>0</v>
      </c>
      <c r="J61" s="539">
        <f t="shared" si="24"/>
        <v>0</v>
      </c>
      <c r="K61" s="539">
        <f t="shared" si="24"/>
        <v>0</v>
      </c>
      <c r="L61" s="539">
        <f t="shared" si="24"/>
        <v>0</v>
      </c>
      <c r="M61" s="539">
        <f t="shared" si="24"/>
        <v>0</v>
      </c>
      <c r="N61" s="34">
        <f>SUM(B61:M61)</f>
        <v>123204086.71120198</v>
      </c>
    </row>
    <row r="62" spans="1:14">
      <c r="A62" s="6"/>
      <c r="B62" s="19">
        <f t="shared" ref="B62:I62" si="25">+B61-B13</f>
        <v>0</v>
      </c>
      <c r="C62" s="19">
        <f t="shared" si="25"/>
        <v>-7254528.3500000015</v>
      </c>
      <c r="D62" s="19">
        <f t="shared" si="25"/>
        <v>-7417398.5299999937</v>
      </c>
      <c r="E62" s="19">
        <f t="shared" si="25"/>
        <v>-7238360.700000003</v>
      </c>
      <c r="F62" s="19">
        <f t="shared" si="25"/>
        <v>-7255261.5899999961</v>
      </c>
      <c r="G62" s="19">
        <f t="shared" si="25"/>
        <v>-7248714.5899999999</v>
      </c>
      <c r="H62" s="19">
        <f t="shared" si="25"/>
        <v>0</v>
      </c>
      <c r="I62" s="19">
        <f t="shared" si="25"/>
        <v>0</v>
      </c>
      <c r="J62" s="19">
        <f>+J61-J13</f>
        <v>0</v>
      </c>
      <c r="K62" s="19">
        <f>+K61-K13</f>
        <v>0</v>
      </c>
      <c r="L62" s="19">
        <f>+L61-L13</f>
        <v>0</v>
      </c>
      <c r="M62" s="19">
        <f>+M61-M13</f>
        <v>0</v>
      </c>
      <c r="N62" s="26">
        <f>AVERAGE(N55:N60)</f>
        <v>20534014.451866996</v>
      </c>
    </row>
    <row r="63" spans="1:1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>
      <c r="A65" s="871" t="s">
        <v>50</v>
      </c>
      <c r="B65" s="871"/>
      <c r="C65" s="871"/>
      <c r="D65" s="871"/>
      <c r="E65" s="871"/>
      <c r="F65" s="871"/>
      <c r="G65" s="871"/>
      <c r="H65" s="871"/>
      <c r="I65" s="871"/>
      <c r="J65" s="871"/>
      <c r="K65" s="871"/>
      <c r="L65" s="871"/>
      <c r="M65" s="871"/>
      <c r="N65" s="871"/>
    </row>
    <row r="66" spans="1:14" ht="33" customHeight="1">
      <c r="A66" s="872" t="s">
        <v>625</v>
      </c>
      <c r="B66" s="872"/>
      <c r="C66" s="872"/>
      <c r="D66" s="872"/>
      <c r="E66" s="872"/>
      <c r="F66" s="872"/>
      <c r="G66" s="872"/>
      <c r="H66" s="872"/>
      <c r="I66" s="872"/>
      <c r="J66" s="872"/>
      <c r="K66" s="872"/>
      <c r="L66" s="872"/>
      <c r="M66" s="872"/>
      <c r="N66" s="872"/>
    </row>
    <row r="68" spans="1:14">
      <c r="A68" s="9" t="s">
        <v>48</v>
      </c>
      <c r="B68" s="538">
        <v>45658</v>
      </c>
      <c r="C68" s="538">
        <v>45689</v>
      </c>
      <c r="D68" s="538">
        <v>45717</v>
      </c>
      <c r="E68" s="538">
        <v>45748</v>
      </c>
      <c r="F68" s="538">
        <v>45778</v>
      </c>
      <c r="G68" s="538">
        <v>45809</v>
      </c>
      <c r="H68" s="538">
        <v>45839</v>
      </c>
      <c r="I68" s="538">
        <v>45870</v>
      </c>
      <c r="J68" s="538">
        <v>45901</v>
      </c>
      <c r="K68" s="538">
        <v>45931</v>
      </c>
      <c r="L68" s="538">
        <v>45962</v>
      </c>
      <c r="M68" s="538">
        <v>45992</v>
      </c>
      <c r="N68" s="32" t="s">
        <v>49</v>
      </c>
    </row>
    <row r="69" spans="1:14">
      <c r="A69" s="11" t="s">
        <v>42</v>
      </c>
      <c r="B69" s="471"/>
      <c r="C69" s="8">
        <v>5035469.8629999999</v>
      </c>
      <c r="D69" s="30">
        <v>5158563.8033339987</v>
      </c>
      <c r="E69" s="36">
        <v>5181368.6616669977</v>
      </c>
      <c r="F69" s="8">
        <v>5156574.1680000005</v>
      </c>
      <c r="G69" s="8">
        <v>5153160.102</v>
      </c>
      <c r="H69" s="8"/>
      <c r="I69" s="8"/>
      <c r="J69" s="20"/>
      <c r="K69" s="8"/>
      <c r="L69" s="8"/>
      <c r="M69" s="8"/>
      <c r="N69" s="33">
        <f t="shared" ref="N69:N74" si="26">SUM(B69:M69)</f>
        <v>25685136.598000996</v>
      </c>
    </row>
    <row r="70" spans="1:14">
      <c r="A70" s="11" t="s">
        <v>43</v>
      </c>
      <c r="B70" s="472"/>
      <c r="C70" s="8">
        <v>752035.2799999998</v>
      </c>
      <c r="D70" s="36">
        <v>759052.99999999988</v>
      </c>
      <c r="E70" s="36">
        <v>759164.19999999984</v>
      </c>
      <c r="F70" s="36">
        <v>759060.60000000021</v>
      </c>
      <c r="G70" s="36">
        <v>760132.76600000029</v>
      </c>
      <c r="H70" s="36"/>
      <c r="I70" s="8"/>
      <c r="J70" s="20"/>
      <c r="K70" s="8"/>
      <c r="L70" s="8"/>
      <c r="M70" s="8"/>
      <c r="N70" s="33">
        <f t="shared" si="26"/>
        <v>3789445.8459999999</v>
      </c>
    </row>
    <row r="71" spans="1:14">
      <c r="A71" s="11" t="s">
        <v>44</v>
      </c>
      <c r="B71" s="472"/>
      <c r="C71" s="8">
        <v>4640.9969999999994</v>
      </c>
      <c r="D71" s="36">
        <v>651106.85</v>
      </c>
      <c r="E71" s="36">
        <v>653434.85000000009</v>
      </c>
      <c r="F71" s="36">
        <v>653988.85</v>
      </c>
      <c r="G71" s="36">
        <v>655398.72</v>
      </c>
      <c r="H71" s="36"/>
      <c r="I71" s="36"/>
      <c r="J71" s="36"/>
      <c r="K71" s="36"/>
      <c r="L71" s="8"/>
      <c r="M71" s="8"/>
      <c r="N71" s="33">
        <f t="shared" si="26"/>
        <v>2618570.267</v>
      </c>
    </row>
    <row r="72" spans="1:14">
      <c r="A72" s="11" t="s">
        <v>45</v>
      </c>
      <c r="B72" s="472"/>
      <c r="C72" s="8">
        <v>25437.462</v>
      </c>
      <c r="D72" s="30">
        <v>123442.74</v>
      </c>
      <c r="E72" s="36">
        <v>120054.48280000001</v>
      </c>
      <c r="F72" s="8">
        <v>126014.05400000003</v>
      </c>
      <c r="G72" s="8">
        <v>120232.34000000003</v>
      </c>
      <c r="H72" s="8"/>
      <c r="I72" s="8"/>
      <c r="J72" s="20"/>
      <c r="K72" s="8"/>
      <c r="L72" s="8"/>
      <c r="M72" s="8"/>
      <c r="N72" s="33">
        <f t="shared" si="26"/>
        <v>515181.07880000008</v>
      </c>
    </row>
    <row r="73" spans="1:14">
      <c r="A73" s="11" t="s">
        <v>46</v>
      </c>
      <c r="B73" s="472"/>
      <c r="C73" s="8">
        <v>298888.84699999995</v>
      </c>
      <c r="D73" s="30">
        <v>469198.52700000006</v>
      </c>
      <c r="E73" s="36">
        <v>473549.26600000012</v>
      </c>
      <c r="F73" s="8">
        <v>482052.69999999984</v>
      </c>
      <c r="G73" s="8">
        <v>485622.29999999987</v>
      </c>
      <c r="H73" s="8"/>
      <c r="I73" s="8"/>
      <c r="J73" s="20"/>
      <c r="K73" s="8"/>
      <c r="L73" s="8"/>
      <c r="M73" s="8"/>
      <c r="N73" s="33">
        <f t="shared" si="26"/>
        <v>2209311.6399999997</v>
      </c>
    </row>
    <row r="74" spans="1:14">
      <c r="A74" s="15" t="s">
        <v>47</v>
      </c>
      <c r="B74" s="12"/>
      <c r="C74" s="12">
        <v>190761.23699999999</v>
      </c>
      <c r="D74" s="498">
        <v>162853.38999999996</v>
      </c>
      <c r="E74" s="36">
        <v>174461.61999999985</v>
      </c>
      <c r="F74" s="8">
        <v>175047.61999999997</v>
      </c>
      <c r="G74" s="8">
        <v>175290.61999999997</v>
      </c>
      <c r="H74" s="27"/>
      <c r="I74" s="27"/>
      <c r="J74" s="28"/>
      <c r="K74" s="27"/>
      <c r="L74" s="12"/>
      <c r="M74" s="12"/>
      <c r="N74" s="33">
        <f t="shared" si="26"/>
        <v>878414.48699999985</v>
      </c>
    </row>
    <row r="75" spans="1:14">
      <c r="A75" s="16" t="s">
        <v>49</v>
      </c>
      <c r="B75" s="17">
        <f t="shared" ref="B75:K75" si="27">SUM(B69:B74)</f>
        <v>0</v>
      </c>
      <c r="C75" s="17">
        <f t="shared" si="27"/>
        <v>6307233.6859999998</v>
      </c>
      <c r="D75" s="17">
        <f t="shared" si="27"/>
        <v>7324218.3103339979</v>
      </c>
      <c r="E75" s="17">
        <f t="shared" si="27"/>
        <v>7362033.0804669978</v>
      </c>
      <c r="F75" s="17">
        <f t="shared" si="27"/>
        <v>7352737.9920000015</v>
      </c>
      <c r="G75" s="723">
        <f>SUM(G69:G74)</f>
        <v>7349836.8480000002</v>
      </c>
      <c r="H75" s="17">
        <f t="shared" si="27"/>
        <v>0</v>
      </c>
      <c r="I75" s="17">
        <f>SUM(I69:I74)</f>
        <v>0</v>
      </c>
      <c r="J75" s="17">
        <f t="shared" si="27"/>
        <v>0</v>
      </c>
      <c r="K75" s="17">
        <f t="shared" si="27"/>
        <v>0</v>
      </c>
      <c r="L75" s="17">
        <f>SUM(L69:L74)</f>
        <v>0</v>
      </c>
      <c r="M75" s="17">
        <f>SUM(M69:M74)</f>
        <v>0</v>
      </c>
      <c r="N75" s="34">
        <f>SUM(B75:M75)</f>
        <v>35696059.916800998</v>
      </c>
    </row>
    <row r="76" spans="1:14">
      <c r="A76" s="29" t="s">
        <v>56</v>
      </c>
      <c r="B76" s="13">
        <f>+B75-B27</f>
        <v>0</v>
      </c>
      <c r="C76" s="13">
        <f t="shared" ref="C76:M76" si="28">+C75-C27</f>
        <v>-2643778.3500000006</v>
      </c>
      <c r="D76" s="13">
        <f>+D75-D27</f>
        <v>-2694910.4300000006</v>
      </c>
      <c r="E76" s="13">
        <f>+E75-E27</f>
        <v>-2714529.4900000012</v>
      </c>
      <c r="F76" s="13">
        <f t="shared" si="28"/>
        <v>-2718316.4899999974</v>
      </c>
      <c r="G76" s="13">
        <f t="shared" si="28"/>
        <v>-2713779.4900000012</v>
      </c>
      <c r="H76" s="13">
        <f t="shared" si="28"/>
        <v>0</v>
      </c>
      <c r="I76" s="13">
        <f>+I75-I27</f>
        <v>0</v>
      </c>
      <c r="J76" s="13">
        <f>+J75-J27</f>
        <v>0</v>
      </c>
      <c r="K76" s="13">
        <f t="shared" si="28"/>
        <v>0</v>
      </c>
      <c r="L76" s="13">
        <f t="shared" si="28"/>
        <v>0</v>
      </c>
      <c r="M76" s="13">
        <f t="shared" si="28"/>
        <v>0</v>
      </c>
      <c r="N76" s="13"/>
    </row>
    <row r="78" spans="1:14">
      <c r="A78" s="885" t="s">
        <v>51</v>
      </c>
      <c r="B78" s="885"/>
      <c r="C78" s="885"/>
      <c r="D78" s="885"/>
      <c r="E78" s="885"/>
      <c r="F78" s="885"/>
      <c r="G78" s="885"/>
      <c r="H78" s="885"/>
      <c r="I78" s="885"/>
      <c r="J78" s="885"/>
      <c r="K78" s="885"/>
      <c r="L78" s="885"/>
      <c r="M78" s="885"/>
      <c r="N78" s="885"/>
    </row>
    <row r="79" spans="1:14" ht="30" customHeight="1">
      <c r="A79" s="872" t="s">
        <v>625</v>
      </c>
      <c r="B79" s="872"/>
      <c r="C79" s="872"/>
      <c r="D79" s="872"/>
      <c r="E79" s="872"/>
      <c r="F79" s="872"/>
      <c r="G79" s="872"/>
      <c r="H79" s="872"/>
      <c r="I79" s="872"/>
      <c r="J79" s="872"/>
      <c r="K79" s="872"/>
      <c r="L79" s="872"/>
      <c r="M79" s="872"/>
      <c r="N79" s="872"/>
    </row>
    <row r="81" spans="1:14">
      <c r="A81" s="9" t="s">
        <v>48</v>
      </c>
      <c r="B81" s="538">
        <v>45658</v>
      </c>
      <c r="C81" s="538">
        <v>45689</v>
      </c>
      <c r="D81" s="538">
        <v>45717</v>
      </c>
      <c r="E81" s="538">
        <v>45748</v>
      </c>
      <c r="F81" s="538">
        <v>45778</v>
      </c>
      <c r="G81" s="538">
        <v>45809</v>
      </c>
      <c r="H81" s="538">
        <v>45839</v>
      </c>
      <c r="I81" s="538">
        <v>45870</v>
      </c>
      <c r="J81" s="538">
        <v>45901</v>
      </c>
      <c r="K81" s="538">
        <v>45931</v>
      </c>
      <c r="L81" s="538">
        <v>45962</v>
      </c>
      <c r="M81" s="538">
        <v>45992</v>
      </c>
      <c r="N81" s="32" t="s">
        <v>49</v>
      </c>
    </row>
    <row r="82" spans="1:14">
      <c r="A82" s="11" t="s">
        <v>42</v>
      </c>
      <c r="B82" s="12"/>
      <c r="C82" s="554">
        <v>5326549.0029999996</v>
      </c>
      <c r="D82" s="559">
        <v>14780434.594333991</v>
      </c>
      <c r="E82" s="558">
        <v>11034074.701199995</v>
      </c>
      <c r="F82" s="36">
        <v>10941377.289799999</v>
      </c>
      <c r="G82" s="36">
        <v>10927652.799899999</v>
      </c>
      <c r="H82" s="36"/>
      <c r="I82" s="724"/>
      <c r="J82" s="36"/>
      <c r="K82" s="36"/>
      <c r="L82" s="36"/>
      <c r="M82" s="30"/>
      <c r="N82" s="33">
        <f t="shared" ref="N82:N87" si="29">SUM(B82:M82)</f>
        <v>53010088.388233975</v>
      </c>
    </row>
    <row r="83" spans="1:14">
      <c r="A83" s="11" t="s">
        <v>43</v>
      </c>
      <c r="B83" s="12"/>
      <c r="C83" s="554">
        <v>1741029.9339999997</v>
      </c>
      <c r="D83" s="559">
        <v>3045503.3369999994</v>
      </c>
      <c r="E83" s="558">
        <v>2603809.9405999999</v>
      </c>
      <c r="F83" s="36">
        <v>2619150.6319999998</v>
      </c>
      <c r="G83" s="36">
        <v>2599479.5998999998</v>
      </c>
      <c r="H83" s="36"/>
      <c r="I83" s="724"/>
      <c r="J83" s="36"/>
      <c r="K83" s="36"/>
      <c r="L83" s="36"/>
      <c r="M83" s="30"/>
      <c r="N83" s="33">
        <f t="shared" si="29"/>
        <v>12608973.443499997</v>
      </c>
    </row>
    <row r="84" spans="1:14">
      <c r="A84" s="11" t="s">
        <v>44</v>
      </c>
      <c r="B84" s="12"/>
      <c r="C84" s="554">
        <v>8972.3669999999984</v>
      </c>
      <c r="D84" s="559">
        <v>1151279.5010000002</v>
      </c>
      <c r="E84" s="558">
        <v>1151241.4950000001</v>
      </c>
      <c r="F84" s="36">
        <v>1172921.2660000001</v>
      </c>
      <c r="G84" s="36">
        <v>1164905.83</v>
      </c>
      <c r="H84" s="36"/>
      <c r="I84" s="724"/>
      <c r="J84" s="36"/>
      <c r="K84" s="36"/>
      <c r="L84" s="36"/>
      <c r="M84" s="30"/>
      <c r="N84" s="33">
        <f t="shared" si="29"/>
        <v>4649320.4590000007</v>
      </c>
    </row>
    <row r="85" spans="1:14">
      <c r="A85" s="11" t="s">
        <v>45</v>
      </c>
      <c r="B85" s="12"/>
      <c r="C85" s="554">
        <v>47992</v>
      </c>
      <c r="D85" s="559">
        <v>1034909</v>
      </c>
      <c r="E85" s="558">
        <v>1034983.89</v>
      </c>
      <c r="F85" s="36">
        <v>1035601.66</v>
      </c>
      <c r="G85" s="36">
        <v>1033644</v>
      </c>
      <c r="H85" s="36"/>
      <c r="I85" s="724"/>
      <c r="J85" s="36"/>
      <c r="K85" s="36"/>
      <c r="L85" s="36"/>
      <c r="M85" s="30"/>
      <c r="N85" s="33">
        <f t="shared" si="29"/>
        <v>4187130.5500000003</v>
      </c>
    </row>
    <row r="86" spans="1:14">
      <c r="A86" s="11" t="s">
        <v>46</v>
      </c>
      <c r="B86" s="12"/>
      <c r="C86" s="554">
        <v>614347.40099999995</v>
      </c>
      <c r="D86" s="559">
        <v>5233504.1709999992</v>
      </c>
      <c r="E86" s="558">
        <v>2292347.590466999</v>
      </c>
      <c r="F86" s="36">
        <v>2259251.2511999998</v>
      </c>
      <c r="G86" s="36">
        <v>2273776.358</v>
      </c>
      <c r="H86" s="36"/>
      <c r="I86" s="724"/>
      <c r="J86" s="36"/>
      <c r="K86" s="36"/>
      <c r="L86" s="36"/>
      <c r="M86" s="30"/>
      <c r="N86" s="33">
        <f t="shared" si="29"/>
        <v>12673226.771666996</v>
      </c>
    </row>
    <row r="87" spans="1:14">
      <c r="A87" s="15" t="s">
        <v>52</v>
      </c>
      <c r="B87" s="12"/>
      <c r="C87" s="554">
        <v>34431</v>
      </c>
      <c r="D87" s="559">
        <v>119117.167</v>
      </c>
      <c r="E87" s="558">
        <v>76695.01999999999</v>
      </c>
      <c r="F87" s="36">
        <v>74686.994999999995</v>
      </c>
      <c r="G87" s="36">
        <v>74357</v>
      </c>
      <c r="H87" s="36"/>
      <c r="I87" s="724"/>
      <c r="J87" s="36"/>
      <c r="K87" s="36"/>
      <c r="L87" s="36"/>
      <c r="M87" s="30"/>
      <c r="N87" s="33">
        <f t="shared" si="29"/>
        <v>379287.18200000003</v>
      </c>
    </row>
    <row r="88" spans="1:14">
      <c r="A88" s="16" t="s">
        <v>49</v>
      </c>
      <c r="B88" s="17">
        <f t="shared" ref="B88:K88" si="30">SUM(B82:B87)</f>
        <v>0</v>
      </c>
      <c r="C88" s="17">
        <f t="shared" si="30"/>
        <v>7773321.7049999982</v>
      </c>
      <c r="D88" s="555">
        <f t="shared" si="30"/>
        <v>25364747.77033399</v>
      </c>
      <c r="E88" s="17">
        <f t="shared" si="30"/>
        <v>18193152.637266994</v>
      </c>
      <c r="F88" s="17">
        <f t="shared" si="30"/>
        <v>18102989.094000001</v>
      </c>
      <c r="G88" s="723">
        <f t="shared" si="30"/>
        <v>18073815.5878</v>
      </c>
      <c r="H88" s="17">
        <f>SUM(H82:H87)</f>
        <v>0</v>
      </c>
      <c r="I88" s="723">
        <f t="shared" si="30"/>
        <v>0</v>
      </c>
      <c r="J88" s="723">
        <f t="shared" si="30"/>
        <v>0</v>
      </c>
      <c r="K88" s="17">
        <f t="shared" si="30"/>
        <v>0</v>
      </c>
      <c r="L88" s="17">
        <f>SUM(L82:L87)</f>
        <v>0</v>
      </c>
      <c r="M88" s="723">
        <f>SUM(M82:M87)</f>
        <v>0</v>
      </c>
      <c r="N88" s="34">
        <f>SUM(N82:N87)</f>
        <v>87508026.794400975</v>
      </c>
    </row>
    <row r="89" spans="1:14" ht="24.75" customHeight="1">
      <c r="A89" s="886" t="s">
        <v>57</v>
      </c>
      <c r="B89" s="886"/>
      <c r="C89" s="886"/>
      <c r="D89" s="886"/>
      <c r="E89" s="886"/>
      <c r="F89" s="886"/>
      <c r="G89" s="31"/>
      <c r="H89" s="31"/>
      <c r="I89" s="31"/>
      <c r="J89" s="31"/>
      <c r="K89" s="31"/>
      <c r="L89" s="31"/>
      <c r="M89" s="31">
        <v>-7546182</v>
      </c>
      <c r="N89" s="34"/>
    </row>
    <row r="90" spans="1:14">
      <c r="A90" s="29" t="s">
        <v>56</v>
      </c>
      <c r="B90" s="23">
        <f t="shared" ref="B90:M90" si="31">+B40-B88</f>
        <v>0</v>
      </c>
      <c r="C90" s="23">
        <f t="shared" si="31"/>
        <v>4610750.0000000019</v>
      </c>
      <c r="D90" s="23">
        <f t="shared" si="31"/>
        <v>4722488.1000000015</v>
      </c>
      <c r="E90" s="23">
        <f t="shared" si="31"/>
        <v>4523831.2100000009</v>
      </c>
      <c r="F90" s="23">
        <f t="shared" si="31"/>
        <v>4536945.1000000015</v>
      </c>
      <c r="G90" s="23">
        <f t="shared" si="31"/>
        <v>4534935.0999999978</v>
      </c>
      <c r="H90" s="23">
        <f t="shared" si="31"/>
        <v>0</v>
      </c>
      <c r="I90" s="23">
        <f t="shared" si="31"/>
        <v>0</v>
      </c>
      <c r="J90" s="23">
        <f t="shared" si="31"/>
        <v>0</v>
      </c>
      <c r="K90" s="23">
        <f>+K40-K88</f>
        <v>0</v>
      </c>
      <c r="L90" s="23" t="s">
        <v>106</v>
      </c>
      <c r="M90" s="23">
        <f t="shared" si="31"/>
        <v>0</v>
      </c>
    </row>
    <row r="91" spans="1:14">
      <c r="F91" s="13"/>
      <c r="G91" s="14"/>
      <c r="K91" s="23"/>
    </row>
    <row r="92" spans="1:14">
      <c r="J92" s="13"/>
    </row>
    <row r="102" spans="1:10">
      <c r="A102" s="873" t="s">
        <v>549</v>
      </c>
      <c r="B102" s="874"/>
      <c r="C102" s="874"/>
      <c r="D102" s="874"/>
      <c r="E102" s="874"/>
      <c r="F102" s="874"/>
      <c r="G102" s="874"/>
      <c r="H102" s="874"/>
      <c r="I102" s="874"/>
      <c r="J102" s="875"/>
    </row>
    <row r="103" spans="1:10">
      <c r="A103" s="876"/>
      <c r="B103" s="869"/>
      <c r="C103" s="869"/>
      <c r="D103" s="869"/>
      <c r="E103" s="869"/>
      <c r="F103" s="869"/>
      <c r="G103" s="869"/>
      <c r="H103" s="869"/>
      <c r="I103" s="869"/>
      <c r="J103" s="877"/>
    </row>
    <row r="104" spans="1:10">
      <c r="A104" s="878"/>
      <c r="B104" s="879"/>
      <c r="C104" s="879"/>
      <c r="D104" s="879"/>
      <c r="E104" s="879"/>
      <c r="F104" s="879"/>
      <c r="G104" s="879"/>
      <c r="H104" s="879"/>
      <c r="I104" s="879"/>
      <c r="J104" s="880"/>
    </row>
    <row r="105" spans="1:10">
      <c r="A105" s="887" t="s">
        <v>542</v>
      </c>
      <c r="B105" s="890" t="s">
        <v>543</v>
      </c>
      <c r="C105" s="891"/>
      <c r="D105" s="891"/>
      <c r="E105" s="891"/>
      <c r="F105" s="891"/>
      <c r="G105" s="891"/>
      <c r="H105" s="891"/>
      <c r="I105" s="891"/>
      <c r="J105" s="892"/>
    </row>
    <row r="106" spans="1:10">
      <c r="A106" s="888"/>
      <c r="B106" s="893" t="s">
        <v>544</v>
      </c>
      <c r="C106" s="894"/>
      <c r="D106" s="726" t="s">
        <v>545</v>
      </c>
      <c r="E106" s="893" t="s">
        <v>546</v>
      </c>
      <c r="F106" s="894"/>
      <c r="G106" s="726" t="s">
        <v>545</v>
      </c>
      <c r="H106" s="893" t="s">
        <v>547</v>
      </c>
      <c r="I106" s="894"/>
      <c r="J106" s="726" t="s">
        <v>545</v>
      </c>
    </row>
    <row r="107" spans="1:10">
      <c r="A107" s="889"/>
      <c r="B107" s="730">
        <v>202306</v>
      </c>
      <c r="C107" s="730">
        <v>202307</v>
      </c>
      <c r="D107" s="731"/>
      <c r="E107" s="730">
        <v>202306</v>
      </c>
      <c r="F107" s="730">
        <v>202307</v>
      </c>
      <c r="G107" s="731"/>
      <c r="H107" s="730">
        <v>202306</v>
      </c>
      <c r="I107" s="734">
        <v>202307</v>
      </c>
      <c r="J107" s="731"/>
    </row>
    <row r="108" spans="1:10">
      <c r="A108" s="46" t="s">
        <v>42</v>
      </c>
      <c r="B108" s="727">
        <v>3634328.219</v>
      </c>
      <c r="C108" s="727">
        <v>3630693.5989999999</v>
      </c>
      <c r="D108" s="728">
        <v>0.37</v>
      </c>
      <c r="E108" s="727">
        <v>816832.80800000008</v>
      </c>
      <c r="F108" s="727">
        <v>816608.80800000008</v>
      </c>
      <c r="G108" s="728">
        <v>-0.06</v>
      </c>
      <c r="H108" s="727">
        <v>4451161.0269999998</v>
      </c>
      <c r="I108" s="735">
        <v>4447302.4069999997</v>
      </c>
      <c r="J108" s="729">
        <v>-8.6687944484464818E-4</v>
      </c>
    </row>
    <row r="109" spans="1:10">
      <c r="A109" s="46" t="s">
        <v>43</v>
      </c>
      <c r="B109" s="727">
        <v>611258.41999999993</v>
      </c>
      <c r="C109" s="727">
        <v>611137.03</v>
      </c>
      <c r="D109" s="728">
        <v>-0.02</v>
      </c>
      <c r="E109" s="727">
        <v>121001.702</v>
      </c>
      <c r="F109" s="727">
        <v>121032.122</v>
      </c>
      <c r="G109" s="728">
        <v>0.02</v>
      </c>
      <c r="H109" s="727">
        <v>732260.12199999997</v>
      </c>
      <c r="I109" s="735">
        <v>732169.152</v>
      </c>
      <c r="J109" s="729">
        <v>-1.2423180952625401E-4</v>
      </c>
    </row>
    <row r="110" spans="1:10">
      <c r="A110" s="46" t="s">
        <v>44</v>
      </c>
      <c r="B110" s="727">
        <v>364741.64</v>
      </c>
      <c r="C110" s="727">
        <v>364991.64</v>
      </c>
      <c r="D110" s="728">
        <v>1.19</v>
      </c>
      <c r="E110" s="727">
        <v>161740</v>
      </c>
      <c r="F110" s="727">
        <v>161740</v>
      </c>
      <c r="G110" s="728">
        <v>2.4</v>
      </c>
      <c r="H110" s="727">
        <v>526481.64</v>
      </c>
      <c r="I110" s="735">
        <v>526731.64</v>
      </c>
      <c r="J110" s="729">
        <v>4.7485036705174899E-4</v>
      </c>
    </row>
    <row r="111" spans="1:10">
      <c r="A111" s="46" t="s">
        <v>45</v>
      </c>
      <c r="B111" s="727">
        <v>48516.706999999995</v>
      </c>
      <c r="C111" s="727">
        <v>48516.706999999995</v>
      </c>
      <c r="D111" s="728">
        <v>0.1</v>
      </c>
      <c r="E111" s="727">
        <v>6981.15</v>
      </c>
      <c r="F111" s="727">
        <v>6981.15</v>
      </c>
      <c r="G111" s="728">
        <v>0</v>
      </c>
      <c r="H111" s="727">
        <v>55497.856999999996</v>
      </c>
      <c r="I111" s="735">
        <v>55497.856999999996</v>
      </c>
      <c r="J111" s="729">
        <v>0</v>
      </c>
    </row>
    <row r="112" spans="1:10">
      <c r="A112" s="46" t="s">
        <v>46</v>
      </c>
      <c r="B112" s="727">
        <v>359772.67000000004</v>
      </c>
      <c r="C112" s="727">
        <v>360262.38</v>
      </c>
      <c r="D112" s="728">
        <v>0.73</v>
      </c>
      <c r="E112" s="727">
        <v>64334.28</v>
      </c>
      <c r="F112" s="727">
        <v>64334.28</v>
      </c>
      <c r="G112" s="728">
        <v>0.14000000000000001</v>
      </c>
      <c r="H112" s="727">
        <v>424106.95000000007</v>
      </c>
      <c r="I112" s="735">
        <v>424596.66000000003</v>
      </c>
      <c r="J112" s="729">
        <v>1.1546851566568428E-3</v>
      </c>
    </row>
    <row r="113" spans="1:10">
      <c r="A113" s="730" t="s">
        <v>523</v>
      </c>
      <c r="B113" s="732">
        <v>5018617.6560000004</v>
      </c>
      <c r="C113" s="732">
        <v>5015601.3559999997</v>
      </c>
      <c r="D113" s="733">
        <v>-6.0102207554994997E-4</v>
      </c>
      <c r="E113" s="732">
        <v>1170889.9400000002</v>
      </c>
      <c r="F113" s="732">
        <v>1170696.3600000001</v>
      </c>
      <c r="G113" s="733">
        <v>-1.6532723818608817E-4</v>
      </c>
      <c r="H113" s="732">
        <v>6189507.5959999999</v>
      </c>
      <c r="I113" s="736">
        <v>6186297.7159999991</v>
      </c>
      <c r="J113" s="733">
        <v>-5.1860021984229121E-4</v>
      </c>
    </row>
    <row r="114" spans="1:10">
      <c r="H114" s="280"/>
      <c r="I114" s="280"/>
    </row>
    <row r="116" spans="1:10">
      <c r="A116" s="887" t="s">
        <v>542</v>
      </c>
      <c r="B116" s="890" t="s">
        <v>548</v>
      </c>
      <c r="C116" s="891"/>
      <c r="D116" s="891"/>
      <c r="E116" s="891"/>
      <c r="F116" s="891"/>
      <c r="G116" s="891"/>
      <c r="H116" s="891"/>
      <c r="I116" s="891"/>
      <c r="J116" s="892"/>
    </row>
    <row r="117" spans="1:10">
      <c r="A117" s="888"/>
      <c r="B117" s="893" t="s">
        <v>544</v>
      </c>
      <c r="C117" s="894"/>
      <c r="D117" s="726" t="s">
        <v>545</v>
      </c>
      <c r="E117" s="893" t="s">
        <v>546</v>
      </c>
      <c r="F117" s="894"/>
      <c r="G117" s="726" t="s">
        <v>545</v>
      </c>
      <c r="H117" s="893" t="s">
        <v>547</v>
      </c>
      <c r="I117" s="894"/>
      <c r="J117" s="726" t="s">
        <v>545</v>
      </c>
    </row>
    <row r="118" spans="1:10">
      <c r="A118" s="889"/>
      <c r="B118" s="730">
        <v>202306</v>
      </c>
      <c r="C118" s="730">
        <v>202307</v>
      </c>
      <c r="D118" s="731"/>
      <c r="E118" s="730">
        <v>202306</v>
      </c>
      <c r="F118" s="730">
        <v>202307</v>
      </c>
      <c r="G118" s="731"/>
      <c r="H118" s="730">
        <v>202306</v>
      </c>
      <c r="I118" s="734">
        <v>202307</v>
      </c>
      <c r="J118" s="731"/>
    </row>
    <row r="119" spans="1:10">
      <c r="A119" s="46" t="s">
        <v>42</v>
      </c>
      <c r="B119" s="727">
        <v>906250.51</v>
      </c>
      <c r="C119" s="727">
        <v>906256.51</v>
      </c>
      <c r="D119" s="727">
        <v>1.01</v>
      </c>
      <c r="E119" s="727">
        <v>208633.47</v>
      </c>
      <c r="F119" s="727">
        <v>208633.47</v>
      </c>
      <c r="G119" s="727">
        <v>0.05</v>
      </c>
      <c r="H119" s="727">
        <v>1114883.98</v>
      </c>
      <c r="I119" s="735">
        <v>1114889.98</v>
      </c>
      <c r="J119" s="729">
        <v>5.381725908470969E-6</v>
      </c>
    </row>
    <row r="120" spans="1:10">
      <c r="A120" s="46" t="s">
        <v>43</v>
      </c>
      <c r="B120" s="727">
        <v>15874.012000000001</v>
      </c>
      <c r="C120" s="727">
        <v>16044.012000000001</v>
      </c>
      <c r="D120" s="727">
        <v>0</v>
      </c>
      <c r="E120" s="727">
        <v>3416.4</v>
      </c>
      <c r="F120" s="727">
        <v>3416.4</v>
      </c>
      <c r="G120" s="727">
        <v>0</v>
      </c>
      <c r="H120" s="727">
        <v>19290.412</v>
      </c>
      <c r="I120" s="735">
        <v>19460.412</v>
      </c>
      <c r="J120" s="729">
        <v>8.8126681794042927E-3</v>
      </c>
    </row>
    <row r="121" spans="1:10">
      <c r="A121" s="46" t="s">
        <v>44</v>
      </c>
      <c r="B121" s="727">
        <v>70372</v>
      </c>
      <c r="C121" s="727">
        <v>70372</v>
      </c>
      <c r="D121" s="727">
        <v>1.22</v>
      </c>
      <c r="E121" s="727">
        <v>45381</v>
      </c>
      <c r="F121" s="727">
        <v>45381</v>
      </c>
      <c r="G121" s="727">
        <v>1.77</v>
      </c>
      <c r="H121" s="727">
        <v>115753</v>
      </c>
      <c r="I121" s="735">
        <v>115753</v>
      </c>
      <c r="J121" s="729">
        <v>0</v>
      </c>
    </row>
    <row r="122" spans="1:10">
      <c r="A122" s="46" t="s">
        <v>45</v>
      </c>
      <c r="B122" s="727">
        <v>107705.42</v>
      </c>
      <c r="C122" s="727">
        <v>109239.42</v>
      </c>
      <c r="D122" s="727">
        <v>0.19</v>
      </c>
      <c r="E122" s="727">
        <v>102460</v>
      </c>
      <c r="F122" s="727">
        <v>102346</v>
      </c>
      <c r="G122" s="727">
        <v>0.28999999999999998</v>
      </c>
      <c r="H122" s="727">
        <v>210165.41999999998</v>
      </c>
      <c r="I122" s="735">
        <v>211585.41999999998</v>
      </c>
      <c r="J122" s="729">
        <v>6.7565825053426121E-3</v>
      </c>
    </row>
    <row r="123" spans="1:10">
      <c r="A123" s="46" t="s">
        <v>46</v>
      </c>
      <c r="B123" s="727">
        <v>255725.47399999999</v>
      </c>
      <c r="C123" s="727">
        <v>255423.454</v>
      </c>
      <c r="D123" s="727">
        <v>1.67</v>
      </c>
      <c r="E123" s="727">
        <v>104883.88</v>
      </c>
      <c r="F123" s="727">
        <v>104883.88</v>
      </c>
      <c r="G123" s="727">
        <v>0</v>
      </c>
      <c r="H123" s="727">
        <v>360609.35399999999</v>
      </c>
      <c r="I123" s="735">
        <v>360307.33400000003</v>
      </c>
      <c r="J123" s="729">
        <v>-8.3752680469839635E-4</v>
      </c>
    </row>
    <row r="124" spans="1:10">
      <c r="A124" s="730" t="s">
        <v>523</v>
      </c>
      <c r="B124" s="732">
        <v>1355927.416</v>
      </c>
      <c r="C124" s="732">
        <v>1357335.3959999999</v>
      </c>
      <c r="D124" s="733">
        <v>1.0383889162397329E-3</v>
      </c>
      <c r="E124" s="732">
        <v>464774.75</v>
      </c>
      <c r="F124" s="732">
        <v>464660.75</v>
      </c>
      <c r="G124" s="733">
        <v>-2.4528010611591961E-4</v>
      </c>
      <c r="H124" s="732">
        <v>1820702.166</v>
      </c>
      <c r="I124" s="736">
        <v>1821996.1459999999</v>
      </c>
      <c r="J124" s="733">
        <v>7.1070382853588576E-4</v>
      </c>
    </row>
  </sheetData>
  <mergeCells count="31">
    <mergeCell ref="A105:A107"/>
    <mergeCell ref="B105:J105"/>
    <mergeCell ref="B106:C106"/>
    <mergeCell ref="E106:F106"/>
    <mergeCell ref="H106:I106"/>
    <mergeCell ref="A116:A118"/>
    <mergeCell ref="B116:J116"/>
    <mergeCell ref="B117:C117"/>
    <mergeCell ref="E117:F117"/>
    <mergeCell ref="H117:I117"/>
    <mergeCell ref="A102:J104"/>
    <mergeCell ref="A47:N47"/>
    <mergeCell ref="A1:N1"/>
    <mergeCell ref="A2:N2"/>
    <mergeCell ref="A3:N3"/>
    <mergeCell ref="A4:N4"/>
    <mergeCell ref="A17:N17"/>
    <mergeCell ref="A18:N18"/>
    <mergeCell ref="A30:N30"/>
    <mergeCell ref="A31:N31"/>
    <mergeCell ref="A41:N41"/>
    <mergeCell ref="A66:N66"/>
    <mergeCell ref="A78:N78"/>
    <mergeCell ref="A79:N79"/>
    <mergeCell ref="A89:F89"/>
    <mergeCell ref="A48:N48"/>
    <mergeCell ref="A49:N49"/>
    <mergeCell ref="A50:N50"/>
    <mergeCell ref="A51:N51"/>
    <mergeCell ref="A52:N52"/>
    <mergeCell ref="A65:N65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28115-47AD-4135-82A5-73807C9EC101}">
  <sheetPr codeName="Hoja11"/>
  <dimension ref="A1:V71"/>
  <sheetViews>
    <sheetView showGridLines="0" workbookViewId="0">
      <selection activeCell="H14" sqref="H14"/>
    </sheetView>
  </sheetViews>
  <sheetFormatPr baseColWidth="10" defaultColWidth="8.25" defaultRowHeight="15.75"/>
  <cols>
    <col min="1" max="1" width="11.875" customWidth="1"/>
    <col min="2" max="2" width="19.625" customWidth="1"/>
    <col min="3" max="3" width="7.375" customWidth="1"/>
    <col min="4" max="4" width="9.125" customWidth="1"/>
    <col min="5" max="6" width="7.375" customWidth="1"/>
    <col min="7" max="7" width="7.5" customWidth="1"/>
    <col min="9" max="9" width="8" customWidth="1"/>
    <col min="11" max="11" width="7.375" customWidth="1"/>
    <col min="12" max="14" width="7.5" customWidth="1"/>
    <col min="15" max="15" width="10.125" customWidth="1"/>
    <col min="16" max="22" width="0" hidden="1" customWidth="1"/>
    <col min="257" max="257" width="11.875" customWidth="1"/>
    <col min="258" max="258" width="19.625" customWidth="1"/>
    <col min="259" max="259" width="7.375" customWidth="1"/>
    <col min="260" max="260" width="9.125" customWidth="1"/>
    <col min="261" max="262" width="7.375" customWidth="1"/>
    <col min="263" max="263" width="7.5" customWidth="1"/>
    <col min="265" max="265" width="8" customWidth="1"/>
    <col min="267" max="267" width="7.375" customWidth="1"/>
    <col min="268" max="270" width="7.5" customWidth="1"/>
    <col min="271" max="271" width="10.125" customWidth="1"/>
    <col min="272" max="278" width="0" hidden="1" customWidth="1"/>
    <col min="513" max="513" width="11.875" customWidth="1"/>
    <col min="514" max="514" width="19.625" customWidth="1"/>
    <col min="515" max="515" width="7.375" customWidth="1"/>
    <col min="516" max="516" width="9.125" customWidth="1"/>
    <col min="517" max="518" width="7.375" customWidth="1"/>
    <col min="519" max="519" width="7.5" customWidth="1"/>
    <col min="521" max="521" width="8" customWidth="1"/>
    <col min="523" max="523" width="7.375" customWidth="1"/>
    <col min="524" max="526" width="7.5" customWidth="1"/>
    <col min="527" max="527" width="10.125" customWidth="1"/>
    <col min="528" max="534" width="0" hidden="1" customWidth="1"/>
    <col min="769" max="769" width="11.875" customWidth="1"/>
    <col min="770" max="770" width="19.625" customWidth="1"/>
    <col min="771" max="771" width="7.375" customWidth="1"/>
    <col min="772" max="772" width="9.125" customWidth="1"/>
    <col min="773" max="774" width="7.375" customWidth="1"/>
    <col min="775" max="775" width="7.5" customWidth="1"/>
    <col min="777" max="777" width="8" customWidth="1"/>
    <col min="779" max="779" width="7.375" customWidth="1"/>
    <col min="780" max="782" width="7.5" customWidth="1"/>
    <col min="783" max="783" width="10.125" customWidth="1"/>
    <col min="784" max="790" width="0" hidden="1" customWidth="1"/>
    <col min="1025" max="1025" width="11.875" customWidth="1"/>
    <col min="1026" max="1026" width="19.625" customWidth="1"/>
    <col min="1027" max="1027" width="7.375" customWidth="1"/>
    <col min="1028" max="1028" width="9.125" customWidth="1"/>
    <col min="1029" max="1030" width="7.375" customWidth="1"/>
    <col min="1031" max="1031" width="7.5" customWidth="1"/>
    <col min="1033" max="1033" width="8" customWidth="1"/>
    <col min="1035" max="1035" width="7.375" customWidth="1"/>
    <col min="1036" max="1038" width="7.5" customWidth="1"/>
    <col min="1039" max="1039" width="10.125" customWidth="1"/>
    <col min="1040" max="1046" width="0" hidden="1" customWidth="1"/>
    <col min="1281" max="1281" width="11.875" customWidth="1"/>
    <col min="1282" max="1282" width="19.625" customWidth="1"/>
    <col min="1283" max="1283" width="7.375" customWidth="1"/>
    <col min="1284" max="1284" width="9.125" customWidth="1"/>
    <col min="1285" max="1286" width="7.375" customWidth="1"/>
    <col min="1287" max="1287" width="7.5" customWidth="1"/>
    <col min="1289" max="1289" width="8" customWidth="1"/>
    <col min="1291" max="1291" width="7.375" customWidth="1"/>
    <col min="1292" max="1294" width="7.5" customWidth="1"/>
    <col min="1295" max="1295" width="10.125" customWidth="1"/>
    <col min="1296" max="1302" width="0" hidden="1" customWidth="1"/>
    <col min="1537" max="1537" width="11.875" customWidth="1"/>
    <col min="1538" max="1538" width="19.625" customWidth="1"/>
    <col min="1539" max="1539" width="7.375" customWidth="1"/>
    <col min="1540" max="1540" width="9.125" customWidth="1"/>
    <col min="1541" max="1542" width="7.375" customWidth="1"/>
    <col min="1543" max="1543" width="7.5" customWidth="1"/>
    <col min="1545" max="1545" width="8" customWidth="1"/>
    <col min="1547" max="1547" width="7.375" customWidth="1"/>
    <col min="1548" max="1550" width="7.5" customWidth="1"/>
    <col min="1551" max="1551" width="10.125" customWidth="1"/>
    <col min="1552" max="1558" width="0" hidden="1" customWidth="1"/>
    <col min="1793" max="1793" width="11.875" customWidth="1"/>
    <col min="1794" max="1794" width="19.625" customWidth="1"/>
    <col min="1795" max="1795" width="7.375" customWidth="1"/>
    <col min="1796" max="1796" width="9.125" customWidth="1"/>
    <col min="1797" max="1798" width="7.375" customWidth="1"/>
    <col min="1799" max="1799" width="7.5" customWidth="1"/>
    <col min="1801" max="1801" width="8" customWidth="1"/>
    <col min="1803" max="1803" width="7.375" customWidth="1"/>
    <col min="1804" max="1806" width="7.5" customWidth="1"/>
    <col min="1807" max="1807" width="10.125" customWidth="1"/>
    <col min="1808" max="1814" width="0" hidden="1" customWidth="1"/>
    <col min="2049" max="2049" width="11.875" customWidth="1"/>
    <col min="2050" max="2050" width="19.625" customWidth="1"/>
    <col min="2051" max="2051" width="7.375" customWidth="1"/>
    <col min="2052" max="2052" width="9.125" customWidth="1"/>
    <col min="2053" max="2054" width="7.375" customWidth="1"/>
    <col min="2055" max="2055" width="7.5" customWidth="1"/>
    <col min="2057" max="2057" width="8" customWidth="1"/>
    <col min="2059" max="2059" width="7.375" customWidth="1"/>
    <col min="2060" max="2062" width="7.5" customWidth="1"/>
    <col min="2063" max="2063" width="10.125" customWidth="1"/>
    <col min="2064" max="2070" width="0" hidden="1" customWidth="1"/>
    <col min="2305" max="2305" width="11.875" customWidth="1"/>
    <col min="2306" max="2306" width="19.625" customWidth="1"/>
    <col min="2307" max="2307" width="7.375" customWidth="1"/>
    <col min="2308" max="2308" width="9.125" customWidth="1"/>
    <col min="2309" max="2310" width="7.375" customWidth="1"/>
    <col min="2311" max="2311" width="7.5" customWidth="1"/>
    <col min="2313" max="2313" width="8" customWidth="1"/>
    <col min="2315" max="2315" width="7.375" customWidth="1"/>
    <col min="2316" max="2318" width="7.5" customWidth="1"/>
    <col min="2319" max="2319" width="10.125" customWidth="1"/>
    <col min="2320" max="2326" width="0" hidden="1" customWidth="1"/>
    <col min="2561" max="2561" width="11.875" customWidth="1"/>
    <col min="2562" max="2562" width="19.625" customWidth="1"/>
    <col min="2563" max="2563" width="7.375" customWidth="1"/>
    <col min="2564" max="2564" width="9.125" customWidth="1"/>
    <col min="2565" max="2566" width="7.375" customWidth="1"/>
    <col min="2567" max="2567" width="7.5" customWidth="1"/>
    <col min="2569" max="2569" width="8" customWidth="1"/>
    <col min="2571" max="2571" width="7.375" customWidth="1"/>
    <col min="2572" max="2574" width="7.5" customWidth="1"/>
    <col min="2575" max="2575" width="10.125" customWidth="1"/>
    <col min="2576" max="2582" width="0" hidden="1" customWidth="1"/>
    <col min="2817" max="2817" width="11.875" customWidth="1"/>
    <col min="2818" max="2818" width="19.625" customWidth="1"/>
    <col min="2819" max="2819" width="7.375" customWidth="1"/>
    <col min="2820" max="2820" width="9.125" customWidth="1"/>
    <col min="2821" max="2822" width="7.375" customWidth="1"/>
    <col min="2823" max="2823" width="7.5" customWidth="1"/>
    <col min="2825" max="2825" width="8" customWidth="1"/>
    <col min="2827" max="2827" width="7.375" customWidth="1"/>
    <col min="2828" max="2830" width="7.5" customWidth="1"/>
    <col min="2831" max="2831" width="10.125" customWidth="1"/>
    <col min="2832" max="2838" width="0" hidden="1" customWidth="1"/>
    <col min="3073" max="3073" width="11.875" customWidth="1"/>
    <col min="3074" max="3074" width="19.625" customWidth="1"/>
    <col min="3075" max="3075" width="7.375" customWidth="1"/>
    <col min="3076" max="3076" width="9.125" customWidth="1"/>
    <col min="3077" max="3078" width="7.375" customWidth="1"/>
    <col min="3079" max="3079" width="7.5" customWidth="1"/>
    <col min="3081" max="3081" width="8" customWidth="1"/>
    <col min="3083" max="3083" width="7.375" customWidth="1"/>
    <col min="3084" max="3086" width="7.5" customWidth="1"/>
    <col min="3087" max="3087" width="10.125" customWidth="1"/>
    <col min="3088" max="3094" width="0" hidden="1" customWidth="1"/>
    <col min="3329" max="3329" width="11.875" customWidth="1"/>
    <col min="3330" max="3330" width="19.625" customWidth="1"/>
    <col min="3331" max="3331" width="7.375" customWidth="1"/>
    <col min="3332" max="3332" width="9.125" customWidth="1"/>
    <col min="3333" max="3334" width="7.375" customWidth="1"/>
    <col min="3335" max="3335" width="7.5" customWidth="1"/>
    <col min="3337" max="3337" width="8" customWidth="1"/>
    <col min="3339" max="3339" width="7.375" customWidth="1"/>
    <col min="3340" max="3342" width="7.5" customWidth="1"/>
    <col min="3343" max="3343" width="10.125" customWidth="1"/>
    <col min="3344" max="3350" width="0" hidden="1" customWidth="1"/>
    <col min="3585" max="3585" width="11.875" customWidth="1"/>
    <col min="3586" max="3586" width="19.625" customWidth="1"/>
    <col min="3587" max="3587" width="7.375" customWidth="1"/>
    <col min="3588" max="3588" width="9.125" customWidth="1"/>
    <col min="3589" max="3590" width="7.375" customWidth="1"/>
    <col min="3591" max="3591" width="7.5" customWidth="1"/>
    <col min="3593" max="3593" width="8" customWidth="1"/>
    <col min="3595" max="3595" width="7.375" customWidth="1"/>
    <col min="3596" max="3598" width="7.5" customWidth="1"/>
    <col min="3599" max="3599" width="10.125" customWidth="1"/>
    <col min="3600" max="3606" width="0" hidden="1" customWidth="1"/>
    <col min="3841" max="3841" width="11.875" customWidth="1"/>
    <col min="3842" max="3842" width="19.625" customWidth="1"/>
    <col min="3843" max="3843" width="7.375" customWidth="1"/>
    <col min="3844" max="3844" width="9.125" customWidth="1"/>
    <col min="3845" max="3846" width="7.375" customWidth="1"/>
    <col min="3847" max="3847" width="7.5" customWidth="1"/>
    <col min="3849" max="3849" width="8" customWidth="1"/>
    <col min="3851" max="3851" width="7.375" customWidth="1"/>
    <col min="3852" max="3854" width="7.5" customWidth="1"/>
    <col min="3855" max="3855" width="10.125" customWidth="1"/>
    <col min="3856" max="3862" width="0" hidden="1" customWidth="1"/>
    <col min="4097" max="4097" width="11.875" customWidth="1"/>
    <col min="4098" max="4098" width="19.625" customWidth="1"/>
    <col min="4099" max="4099" width="7.375" customWidth="1"/>
    <col min="4100" max="4100" width="9.125" customWidth="1"/>
    <col min="4101" max="4102" width="7.375" customWidth="1"/>
    <col min="4103" max="4103" width="7.5" customWidth="1"/>
    <col min="4105" max="4105" width="8" customWidth="1"/>
    <col min="4107" max="4107" width="7.375" customWidth="1"/>
    <col min="4108" max="4110" width="7.5" customWidth="1"/>
    <col min="4111" max="4111" width="10.125" customWidth="1"/>
    <col min="4112" max="4118" width="0" hidden="1" customWidth="1"/>
    <col min="4353" max="4353" width="11.875" customWidth="1"/>
    <col min="4354" max="4354" width="19.625" customWidth="1"/>
    <col min="4355" max="4355" width="7.375" customWidth="1"/>
    <col min="4356" max="4356" width="9.125" customWidth="1"/>
    <col min="4357" max="4358" width="7.375" customWidth="1"/>
    <col min="4359" max="4359" width="7.5" customWidth="1"/>
    <col min="4361" max="4361" width="8" customWidth="1"/>
    <col min="4363" max="4363" width="7.375" customWidth="1"/>
    <col min="4364" max="4366" width="7.5" customWidth="1"/>
    <col min="4367" max="4367" width="10.125" customWidth="1"/>
    <col min="4368" max="4374" width="0" hidden="1" customWidth="1"/>
    <col min="4609" max="4609" width="11.875" customWidth="1"/>
    <col min="4610" max="4610" width="19.625" customWidth="1"/>
    <col min="4611" max="4611" width="7.375" customWidth="1"/>
    <col min="4612" max="4612" width="9.125" customWidth="1"/>
    <col min="4613" max="4614" width="7.375" customWidth="1"/>
    <col min="4615" max="4615" width="7.5" customWidth="1"/>
    <col min="4617" max="4617" width="8" customWidth="1"/>
    <col min="4619" max="4619" width="7.375" customWidth="1"/>
    <col min="4620" max="4622" width="7.5" customWidth="1"/>
    <col min="4623" max="4623" width="10.125" customWidth="1"/>
    <col min="4624" max="4630" width="0" hidden="1" customWidth="1"/>
    <col min="4865" max="4865" width="11.875" customWidth="1"/>
    <col min="4866" max="4866" width="19.625" customWidth="1"/>
    <col min="4867" max="4867" width="7.375" customWidth="1"/>
    <col min="4868" max="4868" width="9.125" customWidth="1"/>
    <col min="4869" max="4870" width="7.375" customWidth="1"/>
    <col min="4871" max="4871" width="7.5" customWidth="1"/>
    <col min="4873" max="4873" width="8" customWidth="1"/>
    <col min="4875" max="4875" width="7.375" customWidth="1"/>
    <col min="4876" max="4878" width="7.5" customWidth="1"/>
    <col min="4879" max="4879" width="10.125" customWidth="1"/>
    <col min="4880" max="4886" width="0" hidden="1" customWidth="1"/>
    <col min="5121" max="5121" width="11.875" customWidth="1"/>
    <col min="5122" max="5122" width="19.625" customWidth="1"/>
    <col min="5123" max="5123" width="7.375" customWidth="1"/>
    <col min="5124" max="5124" width="9.125" customWidth="1"/>
    <col min="5125" max="5126" width="7.375" customWidth="1"/>
    <col min="5127" max="5127" width="7.5" customWidth="1"/>
    <col min="5129" max="5129" width="8" customWidth="1"/>
    <col min="5131" max="5131" width="7.375" customWidth="1"/>
    <col min="5132" max="5134" width="7.5" customWidth="1"/>
    <col min="5135" max="5135" width="10.125" customWidth="1"/>
    <col min="5136" max="5142" width="0" hidden="1" customWidth="1"/>
    <col min="5377" max="5377" width="11.875" customWidth="1"/>
    <col min="5378" max="5378" width="19.625" customWidth="1"/>
    <col min="5379" max="5379" width="7.375" customWidth="1"/>
    <col min="5380" max="5380" width="9.125" customWidth="1"/>
    <col min="5381" max="5382" width="7.375" customWidth="1"/>
    <col min="5383" max="5383" width="7.5" customWidth="1"/>
    <col min="5385" max="5385" width="8" customWidth="1"/>
    <col min="5387" max="5387" width="7.375" customWidth="1"/>
    <col min="5388" max="5390" width="7.5" customWidth="1"/>
    <col min="5391" max="5391" width="10.125" customWidth="1"/>
    <col min="5392" max="5398" width="0" hidden="1" customWidth="1"/>
    <col min="5633" max="5633" width="11.875" customWidth="1"/>
    <col min="5634" max="5634" width="19.625" customWidth="1"/>
    <col min="5635" max="5635" width="7.375" customWidth="1"/>
    <col min="5636" max="5636" width="9.125" customWidth="1"/>
    <col min="5637" max="5638" width="7.375" customWidth="1"/>
    <col min="5639" max="5639" width="7.5" customWidth="1"/>
    <col min="5641" max="5641" width="8" customWidth="1"/>
    <col min="5643" max="5643" width="7.375" customWidth="1"/>
    <col min="5644" max="5646" width="7.5" customWidth="1"/>
    <col min="5647" max="5647" width="10.125" customWidth="1"/>
    <col min="5648" max="5654" width="0" hidden="1" customWidth="1"/>
    <col min="5889" max="5889" width="11.875" customWidth="1"/>
    <col min="5890" max="5890" width="19.625" customWidth="1"/>
    <col min="5891" max="5891" width="7.375" customWidth="1"/>
    <col min="5892" max="5892" width="9.125" customWidth="1"/>
    <col min="5893" max="5894" width="7.375" customWidth="1"/>
    <col min="5895" max="5895" width="7.5" customWidth="1"/>
    <col min="5897" max="5897" width="8" customWidth="1"/>
    <col min="5899" max="5899" width="7.375" customWidth="1"/>
    <col min="5900" max="5902" width="7.5" customWidth="1"/>
    <col min="5903" max="5903" width="10.125" customWidth="1"/>
    <col min="5904" max="5910" width="0" hidden="1" customWidth="1"/>
    <col min="6145" max="6145" width="11.875" customWidth="1"/>
    <col min="6146" max="6146" width="19.625" customWidth="1"/>
    <col min="6147" max="6147" width="7.375" customWidth="1"/>
    <col min="6148" max="6148" width="9.125" customWidth="1"/>
    <col min="6149" max="6150" width="7.375" customWidth="1"/>
    <col min="6151" max="6151" width="7.5" customWidth="1"/>
    <col min="6153" max="6153" width="8" customWidth="1"/>
    <col min="6155" max="6155" width="7.375" customWidth="1"/>
    <col min="6156" max="6158" width="7.5" customWidth="1"/>
    <col min="6159" max="6159" width="10.125" customWidth="1"/>
    <col min="6160" max="6166" width="0" hidden="1" customWidth="1"/>
    <col min="6401" max="6401" width="11.875" customWidth="1"/>
    <col min="6402" max="6402" width="19.625" customWidth="1"/>
    <col min="6403" max="6403" width="7.375" customWidth="1"/>
    <col min="6404" max="6404" width="9.125" customWidth="1"/>
    <col min="6405" max="6406" width="7.375" customWidth="1"/>
    <col min="6407" max="6407" width="7.5" customWidth="1"/>
    <col min="6409" max="6409" width="8" customWidth="1"/>
    <col min="6411" max="6411" width="7.375" customWidth="1"/>
    <col min="6412" max="6414" width="7.5" customWidth="1"/>
    <col min="6415" max="6415" width="10.125" customWidth="1"/>
    <col min="6416" max="6422" width="0" hidden="1" customWidth="1"/>
    <col min="6657" max="6657" width="11.875" customWidth="1"/>
    <col min="6658" max="6658" width="19.625" customWidth="1"/>
    <col min="6659" max="6659" width="7.375" customWidth="1"/>
    <col min="6660" max="6660" width="9.125" customWidth="1"/>
    <col min="6661" max="6662" width="7.375" customWidth="1"/>
    <col min="6663" max="6663" width="7.5" customWidth="1"/>
    <col min="6665" max="6665" width="8" customWidth="1"/>
    <col min="6667" max="6667" width="7.375" customWidth="1"/>
    <col min="6668" max="6670" width="7.5" customWidth="1"/>
    <col min="6671" max="6671" width="10.125" customWidth="1"/>
    <col min="6672" max="6678" width="0" hidden="1" customWidth="1"/>
    <col min="6913" max="6913" width="11.875" customWidth="1"/>
    <col min="6914" max="6914" width="19.625" customWidth="1"/>
    <col min="6915" max="6915" width="7.375" customWidth="1"/>
    <col min="6916" max="6916" width="9.125" customWidth="1"/>
    <col min="6917" max="6918" width="7.375" customWidth="1"/>
    <col min="6919" max="6919" width="7.5" customWidth="1"/>
    <col min="6921" max="6921" width="8" customWidth="1"/>
    <col min="6923" max="6923" width="7.375" customWidth="1"/>
    <col min="6924" max="6926" width="7.5" customWidth="1"/>
    <col min="6927" max="6927" width="10.125" customWidth="1"/>
    <col min="6928" max="6934" width="0" hidden="1" customWidth="1"/>
    <col min="7169" max="7169" width="11.875" customWidth="1"/>
    <col min="7170" max="7170" width="19.625" customWidth="1"/>
    <col min="7171" max="7171" width="7.375" customWidth="1"/>
    <col min="7172" max="7172" width="9.125" customWidth="1"/>
    <col min="7173" max="7174" width="7.375" customWidth="1"/>
    <col min="7175" max="7175" width="7.5" customWidth="1"/>
    <col min="7177" max="7177" width="8" customWidth="1"/>
    <col min="7179" max="7179" width="7.375" customWidth="1"/>
    <col min="7180" max="7182" width="7.5" customWidth="1"/>
    <col min="7183" max="7183" width="10.125" customWidth="1"/>
    <col min="7184" max="7190" width="0" hidden="1" customWidth="1"/>
    <col min="7425" max="7425" width="11.875" customWidth="1"/>
    <col min="7426" max="7426" width="19.625" customWidth="1"/>
    <col min="7427" max="7427" width="7.375" customWidth="1"/>
    <col min="7428" max="7428" width="9.125" customWidth="1"/>
    <col min="7429" max="7430" width="7.375" customWidth="1"/>
    <col min="7431" max="7431" width="7.5" customWidth="1"/>
    <col min="7433" max="7433" width="8" customWidth="1"/>
    <col min="7435" max="7435" width="7.375" customWidth="1"/>
    <col min="7436" max="7438" width="7.5" customWidth="1"/>
    <col min="7439" max="7439" width="10.125" customWidth="1"/>
    <col min="7440" max="7446" width="0" hidden="1" customWidth="1"/>
    <col min="7681" max="7681" width="11.875" customWidth="1"/>
    <col min="7682" max="7682" width="19.625" customWidth="1"/>
    <col min="7683" max="7683" width="7.375" customWidth="1"/>
    <col min="7684" max="7684" width="9.125" customWidth="1"/>
    <col min="7685" max="7686" width="7.375" customWidth="1"/>
    <col min="7687" max="7687" width="7.5" customWidth="1"/>
    <col min="7689" max="7689" width="8" customWidth="1"/>
    <col min="7691" max="7691" width="7.375" customWidth="1"/>
    <col min="7692" max="7694" width="7.5" customWidth="1"/>
    <col min="7695" max="7695" width="10.125" customWidth="1"/>
    <col min="7696" max="7702" width="0" hidden="1" customWidth="1"/>
    <col min="7937" max="7937" width="11.875" customWidth="1"/>
    <col min="7938" max="7938" width="19.625" customWidth="1"/>
    <col min="7939" max="7939" width="7.375" customWidth="1"/>
    <col min="7940" max="7940" width="9.125" customWidth="1"/>
    <col min="7941" max="7942" width="7.375" customWidth="1"/>
    <col min="7943" max="7943" width="7.5" customWidth="1"/>
    <col min="7945" max="7945" width="8" customWidth="1"/>
    <col min="7947" max="7947" width="7.375" customWidth="1"/>
    <col min="7948" max="7950" width="7.5" customWidth="1"/>
    <col min="7951" max="7951" width="10.125" customWidth="1"/>
    <col min="7952" max="7958" width="0" hidden="1" customWidth="1"/>
    <col min="8193" max="8193" width="11.875" customWidth="1"/>
    <col min="8194" max="8194" width="19.625" customWidth="1"/>
    <col min="8195" max="8195" width="7.375" customWidth="1"/>
    <col min="8196" max="8196" width="9.125" customWidth="1"/>
    <col min="8197" max="8198" width="7.375" customWidth="1"/>
    <col min="8199" max="8199" width="7.5" customWidth="1"/>
    <col min="8201" max="8201" width="8" customWidth="1"/>
    <col min="8203" max="8203" width="7.375" customWidth="1"/>
    <col min="8204" max="8206" width="7.5" customWidth="1"/>
    <col min="8207" max="8207" width="10.125" customWidth="1"/>
    <col min="8208" max="8214" width="0" hidden="1" customWidth="1"/>
    <col min="8449" max="8449" width="11.875" customWidth="1"/>
    <col min="8450" max="8450" width="19.625" customWidth="1"/>
    <col min="8451" max="8451" width="7.375" customWidth="1"/>
    <col min="8452" max="8452" width="9.125" customWidth="1"/>
    <col min="8453" max="8454" width="7.375" customWidth="1"/>
    <col min="8455" max="8455" width="7.5" customWidth="1"/>
    <col min="8457" max="8457" width="8" customWidth="1"/>
    <col min="8459" max="8459" width="7.375" customWidth="1"/>
    <col min="8460" max="8462" width="7.5" customWidth="1"/>
    <col min="8463" max="8463" width="10.125" customWidth="1"/>
    <col min="8464" max="8470" width="0" hidden="1" customWidth="1"/>
    <col min="8705" max="8705" width="11.875" customWidth="1"/>
    <col min="8706" max="8706" width="19.625" customWidth="1"/>
    <col min="8707" max="8707" width="7.375" customWidth="1"/>
    <col min="8708" max="8708" width="9.125" customWidth="1"/>
    <col min="8709" max="8710" width="7.375" customWidth="1"/>
    <col min="8711" max="8711" width="7.5" customWidth="1"/>
    <col min="8713" max="8713" width="8" customWidth="1"/>
    <col min="8715" max="8715" width="7.375" customWidth="1"/>
    <col min="8716" max="8718" width="7.5" customWidth="1"/>
    <col min="8719" max="8719" width="10.125" customWidth="1"/>
    <col min="8720" max="8726" width="0" hidden="1" customWidth="1"/>
    <col min="8961" max="8961" width="11.875" customWidth="1"/>
    <col min="8962" max="8962" width="19.625" customWidth="1"/>
    <col min="8963" max="8963" width="7.375" customWidth="1"/>
    <col min="8964" max="8964" width="9.125" customWidth="1"/>
    <col min="8965" max="8966" width="7.375" customWidth="1"/>
    <col min="8967" max="8967" width="7.5" customWidth="1"/>
    <col min="8969" max="8969" width="8" customWidth="1"/>
    <col min="8971" max="8971" width="7.375" customWidth="1"/>
    <col min="8972" max="8974" width="7.5" customWidth="1"/>
    <col min="8975" max="8975" width="10.125" customWidth="1"/>
    <col min="8976" max="8982" width="0" hidden="1" customWidth="1"/>
    <col min="9217" max="9217" width="11.875" customWidth="1"/>
    <col min="9218" max="9218" width="19.625" customWidth="1"/>
    <col min="9219" max="9219" width="7.375" customWidth="1"/>
    <col min="9220" max="9220" width="9.125" customWidth="1"/>
    <col min="9221" max="9222" width="7.375" customWidth="1"/>
    <col min="9223" max="9223" width="7.5" customWidth="1"/>
    <col min="9225" max="9225" width="8" customWidth="1"/>
    <col min="9227" max="9227" width="7.375" customWidth="1"/>
    <col min="9228" max="9230" width="7.5" customWidth="1"/>
    <col min="9231" max="9231" width="10.125" customWidth="1"/>
    <col min="9232" max="9238" width="0" hidden="1" customWidth="1"/>
    <col min="9473" max="9473" width="11.875" customWidth="1"/>
    <col min="9474" max="9474" width="19.625" customWidth="1"/>
    <col min="9475" max="9475" width="7.375" customWidth="1"/>
    <col min="9476" max="9476" width="9.125" customWidth="1"/>
    <col min="9477" max="9478" width="7.375" customWidth="1"/>
    <col min="9479" max="9479" width="7.5" customWidth="1"/>
    <col min="9481" max="9481" width="8" customWidth="1"/>
    <col min="9483" max="9483" width="7.375" customWidth="1"/>
    <col min="9484" max="9486" width="7.5" customWidth="1"/>
    <col min="9487" max="9487" width="10.125" customWidth="1"/>
    <col min="9488" max="9494" width="0" hidden="1" customWidth="1"/>
    <col min="9729" max="9729" width="11.875" customWidth="1"/>
    <col min="9730" max="9730" width="19.625" customWidth="1"/>
    <col min="9731" max="9731" width="7.375" customWidth="1"/>
    <col min="9732" max="9732" width="9.125" customWidth="1"/>
    <col min="9733" max="9734" width="7.375" customWidth="1"/>
    <col min="9735" max="9735" width="7.5" customWidth="1"/>
    <col min="9737" max="9737" width="8" customWidth="1"/>
    <col min="9739" max="9739" width="7.375" customWidth="1"/>
    <col min="9740" max="9742" width="7.5" customWidth="1"/>
    <col min="9743" max="9743" width="10.125" customWidth="1"/>
    <col min="9744" max="9750" width="0" hidden="1" customWidth="1"/>
    <col min="9985" max="9985" width="11.875" customWidth="1"/>
    <col min="9986" max="9986" width="19.625" customWidth="1"/>
    <col min="9987" max="9987" width="7.375" customWidth="1"/>
    <col min="9988" max="9988" width="9.125" customWidth="1"/>
    <col min="9989" max="9990" width="7.375" customWidth="1"/>
    <col min="9991" max="9991" width="7.5" customWidth="1"/>
    <col min="9993" max="9993" width="8" customWidth="1"/>
    <col min="9995" max="9995" width="7.375" customWidth="1"/>
    <col min="9996" max="9998" width="7.5" customWidth="1"/>
    <col min="9999" max="9999" width="10.125" customWidth="1"/>
    <col min="10000" max="10006" width="0" hidden="1" customWidth="1"/>
    <col min="10241" max="10241" width="11.875" customWidth="1"/>
    <col min="10242" max="10242" width="19.625" customWidth="1"/>
    <col min="10243" max="10243" width="7.375" customWidth="1"/>
    <col min="10244" max="10244" width="9.125" customWidth="1"/>
    <col min="10245" max="10246" width="7.375" customWidth="1"/>
    <col min="10247" max="10247" width="7.5" customWidth="1"/>
    <col min="10249" max="10249" width="8" customWidth="1"/>
    <col min="10251" max="10251" width="7.375" customWidth="1"/>
    <col min="10252" max="10254" width="7.5" customWidth="1"/>
    <col min="10255" max="10255" width="10.125" customWidth="1"/>
    <col min="10256" max="10262" width="0" hidden="1" customWidth="1"/>
    <col min="10497" max="10497" width="11.875" customWidth="1"/>
    <col min="10498" max="10498" width="19.625" customWidth="1"/>
    <col min="10499" max="10499" width="7.375" customWidth="1"/>
    <col min="10500" max="10500" width="9.125" customWidth="1"/>
    <col min="10501" max="10502" width="7.375" customWidth="1"/>
    <col min="10503" max="10503" width="7.5" customWidth="1"/>
    <col min="10505" max="10505" width="8" customWidth="1"/>
    <col min="10507" max="10507" width="7.375" customWidth="1"/>
    <col min="10508" max="10510" width="7.5" customWidth="1"/>
    <col min="10511" max="10511" width="10.125" customWidth="1"/>
    <col min="10512" max="10518" width="0" hidden="1" customWidth="1"/>
    <col min="10753" max="10753" width="11.875" customWidth="1"/>
    <col min="10754" max="10754" width="19.625" customWidth="1"/>
    <col min="10755" max="10755" width="7.375" customWidth="1"/>
    <col min="10756" max="10756" width="9.125" customWidth="1"/>
    <col min="10757" max="10758" width="7.375" customWidth="1"/>
    <col min="10759" max="10759" width="7.5" customWidth="1"/>
    <col min="10761" max="10761" width="8" customWidth="1"/>
    <col min="10763" max="10763" width="7.375" customWidth="1"/>
    <col min="10764" max="10766" width="7.5" customWidth="1"/>
    <col min="10767" max="10767" width="10.125" customWidth="1"/>
    <col min="10768" max="10774" width="0" hidden="1" customWidth="1"/>
    <col min="11009" max="11009" width="11.875" customWidth="1"/>
    <col min="11010" max="11010" width="19.625" customWidth="1"/>
    <col min="11011" max="11011" width="7.375" customWidth="1"/>
    <col min="11012" max="11012" width="9.125" customWidth="1"/>
    <col min="11013" max="11014" width="7.375" customWidth="1"/>
    <col min="11015" max="11015" width="7.5" customWidth="1"/>
    <col min="11017" max="11017" width="8" customWidth="1"/>
    <col min="11019" max="11019" width="7.375" customWidth="1"/>
    <col min="11020" max="11022" width="7.5" customWidth="1"/>
    <col min="11023" max="11023" width="10.125" customWidth="1"/>
    <col min="11024" max="11030" width="0" hidden="1" customWidth="1"/>
    <col min="11265" max="11265" width="11.875" customWidth="1"/>
    <col min="11266" max="11266" width="19.625" customWidth="1"/>
    <col min="11267" max="11267" width="7.375" customWidth="1"/>
    <col min="11268" max="11268" width="9.125" customWidth="1"/>
    <col min="11269" max="11270" width="7.375" customWidth="1"/>
    <col min="11271" max="11271" width="7.5" customWidth="1"/>
    <col min="11273" max="11273" width="8" customWidth="1"/>
    <col min="11275" max="11275" width="7.375" customWidth="1"/>
    <col min="11276" max="11278" width="7.5" customWidth="1"/>
    <col min="11279" max="11279" width="10.125" customWidth="1"/>
    <col min="11280" max="11286" width="0" hidden="1" customWidth="1"/>
    <col min="11521" max="11521" width="11.875" customWidth="1"/>
    <col min="11522" max="11522" width="19.625" customWidth="1"/>
    <col min="11523" max="11523" width="7.375" customWidth="1"/>
    <col min="11524" max="11524" width="9.125" customWidth="1"/>
    <col min="11525" max="11526" width="7.375" customWidth="1"/>
    <col min="11527" max="11527" width="7.5" customWidth="1"/>
    <col min="11529" max="11529" width="8" customWidth="1"/>
    <col min="11531" max="11531" width="7.375" customWidth="1"/>
    <col min="11532" max="11534" width="7.5" customWidth="1"/>
    <col min="11535" max="11535" width="10.125" customWidth="1"/>
    <col min="11536" max="11542" width="0" hidden="1" customWidth="1"/>
    <col min="11777" max="11777" width="11.875" customWidth="1"/>
    <col min="11778" max="11778" width="19.625" customWidth="1"/>
    <col min="11779" max="11779" width="7.375" customWidth="1"/>
    <col min="11780" max="11780" width="9.125" customWidth="1"/>
    <col min="11781" max="11782" width="7.375" customWidth="1"/>
    <col min="11783" max="11783" width="7.5" customWidth="1"/>
    <col min="11785" max="11785" width="8" customWidth="1"/>
    <col min="11787" max="11787" width="7.375" customWidth="1"/>
    <col min="11788" max="11790" width="7.5" customWidth="1"/>
    <col min="11791" max="11791" width="10.125" customWidth="1"/>
    <col min="11792" max="11798" width="0" hidden="1" customWidth="1"/>
    <col min="12033" max="12033" width="11.875" customWidth="1"/>
    <col min="12034" max="12034" width="19.625" customWidth="1"/>
    <col min="12035" max="12035" width="7.375" customWidth="1"/>
    <col min="12036" max="12036" width="9.125" customWidth="1"/>
    <col min="12037" max="12038" width="7.375" customWidth="1"/>
    <col min="12039" max="12039" width="7.5" customWidth="1"/>
    <col min="12041" max="12041" width="8" customWidth="1"/>
    <col min="12043" max="12043" width="7.375" customWidth="1"/>
    <col min="12044" max="12046" width="7.5" customWidth="1"/>
    <col min="12047" max="12047" width="10.125" customWidth="1"/>
    <col min="12048" max="12054" width="0" hidden="1" customWidth="1"/>
    <col min="12289" max="12289" width="11.875" customWidth="1"/>
    <col min="12290" max="12290" width="19.625" customWidth="1"/>
    <col min="12291" max="12291" width="7.375" customWidth="1"/>
    <col min="12292" max="12292" width="9.125" customWidth="1"/>
    <col min="12293" max="12294" width="7.375" customWidth="1"/>
    <col min="12295" max="12295" width="7.5" customWidth="1"/>
    <col min="12297" max="12297" width="8" customWidth="1"/>
    <col min="12299" max="12299" width="7.375" customWidth="1"/>
    <col min="12300" max="12302" width="7.5" customWidth="1"/>
    <col min="12303" max="12303" width="10.125" customWidth="1"/>
    <col min="12304" max="12310" width="0" hidden="1" customWidth="1"/>
    <col min="12545" max="12545" width="11.875" customWidth="1"/>
    <col min="12546" max="12546" width="19.625" customWidth="1"/>
    <col min="12547" max="12547" width="7.375" customWidth="1"/>
    <col min="12548" max="12548" width="9.125" customWidth="1"/>
    <col min="12549" max="12550" width="7.375" customWidth="1"/>
    <col min="12551" max="12551" width="7.5" customWidth="1"/>
    <col min="12553" max="12553" width="8" customWidth="1"/>
    <col min="12555" max="12555" width="7.375" customWidth="1"/>
    <col min="12556" max="12558" width="7.5" customWidth="1"/>
    <col min="12559" max="12559" width="10.125" customWidth="1"/>
    <col min="12560" max="12566" width="0" hidden="1" customWidth="1"/>
    <col min="12801" max="12801" width="11.875" customWidth="1"/>
    <col min="12802" max="12802" width="19.625" customWidth="1"/>
    <col min="12803" max="12803" width="7.375" customWidth="1"/>
    <col min="12804" max="12804" width="9.125" customWidth="1"/>
    <col min="12805" max="12806" width="7.375" customWidth="1"/>
    <col min="12807" max="12807" width="7.5" customWidth="1"/>
    <col min="12809" max="12809" width="8" customWidth="1"/>
    <col min="12811" max="12811" width="7.375" customWidth="1"/>
    <col min="12812" max="12814" width="7.5" customWidth="1"/>
    <col min="12815" max="12815" width="10.125" customWidth="1"/>
    <col min="12816" max="12822" width="0" hidden="1" customWidth="1"/>
    <col min="13057" max="13057" width="11.875" customWidth="1"/>
    <col min="13058" max="13058" width="19.625" customWidth="1"/>
    <col min="13059" max="13059" width="7.375" customWidth="1"/>
    <col min="13060" max="13060" width="9.125" customWidth="1"/>
    <col min="13061" max="13062" width="7.375" customWidth="1"/>
    <col min="13063" max="13063" width="7.5" customWidth="1"/>
    <col min="13065" max="13065" width="8" customWidth="1"/>
    <col min="13067" max="13067" width="7.375" customWidth="1"/>
    <col min="13068" max="13070" width="7.5" customWidth="1"/>
    <col min="13071" max="13071" width="10.125" customWidth="1"/>
    <col min="13072" max="13078" width="0" hidden="1" customWidth="1"/>
    <col min="13313" max="13313" width="11.875" customWidth="1"/>
    <col min="13314" max="13314" width="19.625" customWidth="1"/>
    <col min="13315" max="13315" width="7.375" customWidth="1"/>
    <col min="13316" max="13316" width="9.125" customWidth="1"/>
    <col min="13317" max="13318" width="7.375" customWidth="1"/>
    <col min="13319" max="13319" width="7.5" customWidth="1"/>
    <col min="13321" max="13321" width="8" customWidth="1"/>
    <col min="13323" max="13323" width="7.375" customWidth="1"/>
    <col min="13324" max="13326" width="7.5" customWidth="1"/>
    <col min="13327" max="13327" width="10.125" customWidth="1"/>
    <col min="13328" max="13334" width="0" hidden="1" customWidth="1"/>
    <col min="13569" max="13569" width="11.875" customWidth="1"/>
    <col min="13570" max="13570" width="19.625" customWidth="1"/>
    <col min="13571" max="13571" width="7.375" customWidth="1"/>
    <col min="13572" max="13572" width="9.125" customWidth="1"/>
    <col min="13573" max="13574" width="7.375" customWidth="1"/>
    <col min="13575" max="13575" width="7.5" customWidth="1"/>
    <col min="13577" max="13577" width="8" customWidth="1"/>
    <col min="13579" max="13579" width="7.375" customWidth="1"/>
    <col min="13580" max="13582" width="7.5" customWidth="1"/>
    <col min="13583" max="13583" width="10.125" customWidth="1"/>
    <col min="13584" max="13590" width="0" hidden="1" customWidth="1"/>
    <col min="13825" max="13825" width="11.875" customWidth="1"/>
    <col min="13826" max="13826" width="19.625" customWidth="1"/>
    <col min="13827" max="13827" width="7.375" customWidth="1"/>
    <col min="13828" max="13828" width="9.125" customWidth="1"/>
    <col min="13829" max="13830" width="7.375" customWidth="1"/>
    <col min="13831" max="13831" width="7.5" customWidth="1"/>
    <col min="13833" max="13833" width="8" customWidth="1"/>
    <col min="13835" max="13835" width="7.375" customWidth="1"/>
    <col min="13836" max="13838" width="7.5" customWidth="1"/>
    <col min="13839" max="13839" width="10.125" customWidth="1"/>
    <col min="13840" max="13846" width="0" hidden="1" customWidth="1"/>
    <col min="14081" max="14081" width="11.875" customWidth="1"/>
    <col min="14082" max="14082" width="19.625" customWidth="1"/>
    <col min="14083" max="14083" width="7.375" customWidth="1"/>
    <col min="14084" max="14084" width="9.125" customWidth="1"/>
    <col min="14085" max="14086" width="7.375" customWidth="1"/>
    <col min="14087" max="14087" width="7.5" customWidth="1"/>
    <col min="14089" max="14089" width="8" customWidth="1"/>
    <col min="14091" max="14091" width="7.375" customWidth="1"/>
    <col min="14092" max="14094" width="7.5" customWidth="1"/>
    <col min="14095" max="14095" width="10.125" customWidth="1"/>
    <col min="14096" max="14102" width="0" hidden="1" customWidth="1"/>
    <col min="14337" max="14337" width="11.875" customWidth="1"/>
    <col min="14338" max="14338" width="19.625" customWidth="1"/>
    <col min="14339" max="14339" width="7.375" customWidth="1"/>
    <col min="14340" max="14340" width="9.125" customWidth="1"/>
    <col min="14341" max="14342" width="7.375" customWidth="1"/>
    <col min="14343" max="14343" width="7.5" customWidth="1"/>
    <col min="14345" max="14345" width="8" customWidth="1"/>
    <col min="14347" max="14347" width="7.375" customWidth="1"/>
    <col min="14348" max="14350" width="7.5" customWidth="1"/>
    <col min="14351" max="14351" width="10.125" customWidth="1"/>
    <col min="14352" max="14358" width="0" hidden="1" customWidth="1"/>
    <col min="14593" max="14593" width="11.875" customWidth="1"/>
    <col min="14594" max="14594" width="19.625" customWidth="1"/>
    <col min="14595" max="14595" width="7.375" customWidth="1"/>
    <col min="14596" max="14596" width="9.125" customWidth="1"/>
    <col min="14597" max="14598" width="7.375" customWidth="1"/>
    <col min="14599" max="14599" width="7.5" customWidth="1"/>
    <col min="14601" max="14601" width="8" customWidth="1"/>
    <col min="14603" max="14603" width="7.375" customWidth="1"/>
    <col min="14604" max="14606" width="7.5" customWidth="1"/>
    <col min="14607" max="14607" width="10.125" customWidth="1"/>
    <col min="14608" max="14614" width="0" hidden="1" customWidth="1"/>
    <col min="14849" max="14849" width="11.875" customWidth="1"/>
    <col min="14850" max="14850" width="19.625" customWidth="1"/>
    <col min="14851" max="14851" width="7.375" customWidth="1"/>
    <col min="14852" max="14852" width="9.125" customWidth="1"/>
    <col min="14853" max="14854" width="7.375" customWidth="1"/>
    <col min="14855" max="14855" width="7.5" customWidth="1"/>
    <col min="14857" max="14857" width="8" customWidth="1"/>
    <col min="14859" max="14859" width="7.375" customWidth="1"/>
    <col min="14860" max="14862" width="7.5" customWidth="1"/>
    <col min="14863" max="14863" width="10.125" customWidth="1"/>
    <col min="14864" max="14870" width="0" hidden="1" customWidth="1"/>
    <col min="15105" max="15105" width="11.875" customWidth="1"/>
    <col min="15106" max="15106" width="19.625" customWidth="1"/>
    <col min="15107" max="15107" width="7.375" customWidth="1"/>
    <col min="15108" max="15108" width="9.125" customWidth="1"/>
    <col min="15109" max="15110" width="7.375" customWidth="1"/>
    <col min="15111" max="15111" width="7.5" customWidth="1"/>
    <col min="15113" max="15113" width="8" customWidth="1"/>
    <col min="15115" max="15115" width="7.375" customWidth="1"/>
    <col min="15116" max="15118" width="7.5" customWidth="1"/>
    <col min="15119" max="15119" width="10.125" customWidth="1"/>
    <col min="15120" max="15126" width="0" hidden="1" customWidth="1"/>
    <col min="15361" max="15361" width="11.875" customWidth="1"/>
    <col min="15362" max="15362" width="19.625" customWidth="1"/>
    <col min="15363" max="15363" width="7.375" customWidth="1"/>
    <col min="15364" max="15364" width="9.125" customWidth="1"/>
    <col min="15365" max="15366" width="7.375" customWidth="1"/>
    <col min="15367" max="15367" width="7.5" customWidth="1"/>
    <col min="15369" max="15369" width="8" customWidth="1"/>
    <col min="15371" max="15371" width="7.375" customWidth="1"/>
    <col min="15372" max="15374" width="7.5" customWidth="1"/>
    <col min="15375" max="15375" width="10.125" customWidth="1"/>
    <col min="15376" max="15382" width="0" hidden="1" customWidth="1"/>
    <col min="15617" max="15617" width="11.875" customWidth="1"/>
    <col min="15618" max="15618" width="19.625" customWidth="1"/>
    <col min="15619" max="15619" width="7.375" customWidth="1"/>
    <col min="15620" max="15620" width="9.125" customWidth="1"/>
    <col min="15621" max="15622" width="7.375" customWidth="1"/>
    <col min="15623" max="15623" width="7.5" customWidth="1"/>
    <col min="15625" max="15625" width="8" customWidth="1"/>
    <col min="15627" max="15627" width="7.375" customWidth="1"/>
    <col min="15628" max="15630" width="7.5" customWidth="1"/>
    <col min="15631" max="15631" width="10.125" customWidth="1"/>
    <col min="15632" max="15638" width="0" hidden="1" customWidth="1"/>
    <col min="15873" max="15873" width="11.875" customWidth="1"/>
    <col min="15874" max="15874" width="19.625" customWidth="1"/>
    <col min="15875" max="15875" width="7.375" customWidth="1"/>
    <col min="15876" max="15876" width="9.125" customWidth="1"/>
    <col min="15877" max="15878" width="7.375" customWidth="1"/>
    <col min="15879" max="15879" width="7.5" customWidth="1"/>
    <col min="15881" max="15881" width="8" customWidth="1"/>
    <col min="15883" max="15883" width="7.375" customWidth="1"/>
    <col min="15884" max="15886" width="7.5" customWidth="1"/>
    <col min="15887" max="15887" width="10.125" customWidth="1"/>
    <col min="15888" max="15894" width="0" hidden="1" customWidth="1"/>
    <col min="16129" max="16129" width="11.875" customWidth="1"/>
    <col min="16130" max="16130" width="19.625" customWidth="1"/>
    <col min="16131" max="16131" width="7.375" customWidth="1"/>
    <col min="16132" max="16132" width="9.125" customWidth="1"/>
    <col min="16133" max="16134" width="7.375" customWidth="1"/>
    <col min="16135" max="16135" width="7.5" customWidth="1"/>
    <col min="16137" max="16137" width="8" customWidth="1"/>
    <col min="16139" max="16139" width="7.375" customWidth="1"/>
    <col min="16140" max="16142" width="7.5" customWidth="1"/>
    <col min="16143" max="16143" width="10.125" customWidth="1"/>
    <col min="16144" max="16150" width="0" hidden="1" customWidth="1"/>
  </cols>
  <sheetData>
    <row r="1" spans="1:21">
      <c r="A1" s="900" t="s">
        <v>39</v>
      </c>
      <c r="B1" s="900"/>
      <c r="C1" s="900"/>
      <c r="D1" s="900"/>
      <c r="E1" s="900"/>
      <c r="F1" s="900"/>
      <c r="G1" s="900"/>
      <c r="H1" s="900"/>
      <c r="I1" s="900"/>
      <c r="J1" s="900"/>
      <c r="K1" s="900"/>
      <c r="L1" s="900"/>
      <c r="M1" s="900"/>
      <c r="N1" s="900"/>
      <c r="O1" s="900"/>
    </row>
    <row r="2" spans="1:21">
      <c r="A2" s="900" t="s">
        <v>40</v>
      </c>
      <c r="B2" s="900"/>
      <c r="C2" s="900"/>
      <c r="D2" s="900"/>
      <c r="E2" s="900"/>
      <c r="F2" s="900"/>
      <c r="G2" s="900"/>
      <c r="H2" s="900"/>
      <c r="I2" s="900"/>
      <c r="J2" s="900"/>
      <c r="K2" s="900"/>
      <c r="L2" s="900"/>
      <c r="M2" s="900"/>
      <c r="N2" s="900"/>
      <c r="O2" s="900"/>
    </row>
    <row r="3" spans="1:21" ht="5.2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21">
      <c r="A4" s="900" t="s">
        <v>595</v>
      </c>
      <c r="B4" s="900"/>
      <c r="C4" s="900"/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</row>
    <row r="5" spans="1:21">
      <c r="A5" s="900" t="s">
        <v>115</v>
      </c>
      <c r="B5" s="900"/>
      <c r="C5" s="900"/>
      <c r="D5" s="900"/>
      <c r="E5" s="900"/>
      <c r="F5" s="900"/>
      <c r="G5" s="900"/>
      <c r="H5" s="900"/>
      <c r="I5" s="900"/>
      <c r="J5" s="900"/>
      <c r="K5" s="900"/>
      <c r="L5" s="900"/>
      <c r="M5" s="900"/>
      <c r="N5" s="900"/>
      <c r="O5" s="900"/>
    </row>
    <row r="6" spans="1:21" ht="6" customHeight="1"/>
    <row r="7" spans="1:21" ht="5.25" customHeight="1" thickBot="1">
      <c r="C7" s="14"/>
      <c r="D7" s="14"/>
      <c r="E7" s="52"/>
      <c r="H7" s="14"/>
      <c r="I7" s="52"/>
    </row>
    <row r="8" spans="1:21" ht="15" customHeight="1" thickTop="1">
      <c r="A8" s="901" t="s">
        <v>116</v>
      </c>
      <c r="B8" s="901"/>
      <c r="C8" s="53" t="s">
        <v>117</v>
      </c>
      <c r="D8" s="53" t="s">
        <v>118</v>
      </c>
      <c r="E8" s="53" t="s">
        <v>119</v>
      </c>
      <c r="F8" s="53" t="s">
        <v>120</v>
      </c>
      <c r="G8" s="53" t="s">
        <v>121</v>
      </c>
      <c r="H8" s="53" t="s">
        <v>122</v>
      </c>
      <c r="I8" s="53" t="s">
        <v>123</v>
      </c>
      <c r="J8" s="53" t="s">
        <v>124</v>
      </c>
      <c r="K8" s="53" t="s">
        <v>125</v>
      </c>
      <c r="L8" s="53" t="s">
        <v>126</v>
      </c>
      <c r="M8" s="53" t="s">
        <v>127</v>
      </c>
      <c r="N8" s="53" t="s">
        <v>128</v>
      </c>
      <c r="O8" s="54" t="s">
        <v>129</v>
      </c>
    </row>
    <row r="9" spans="1:21" ht="25.5" customHeight="1">
      <c r="A9" s="55" t="s">
        <v>130</v>
      </c>
      <c r="B9" s="56" t="s">
        <v>131</v>
      </c>
      <c r="C9" s="57">
        <f>'Producción MGD'!D9/22.827</f>
        <v>6.4561307563058445</v>
      </c>
      <c r="D9" s="57">
        <f>'Producción MGD'!E9/22.827</f>
        <v>6.369640588526118</v>
      </c>
      <c r="E9" s="57">
        <f>'Producción MGD'!F9/22.827</f>
        <v>6.2780606440872928</v>
      </c>
      <c r="F9" s="57">
        <f>'Producción MGD'!G9/22.827</f>
        <v>6.182995283363268</v>
      </c>
      <c r="G9" s="57">
        <f>'Producción MGD'!H9/22.827</f>
        <v>6.3136791886235448</v>
      </c>
      <c r="H9" s="57">
        <f>'Producción MGD'!I9/22.827</f>
        <v>6.5043325886012173</v>
      </c>
      <c r="I9" s="57">
        <f>'Producción MGD'!J9/22.827</f>
        <v>0</v>
      </c>
      <c r="J9" s="57">
        <f>'Producción MGD'!K9/22.827</f>
        <v>0</v>
      </c>
      <c r="K9" s="57">
        <f>'Producción MGD'!L9/22.827</f>
        <v>0</v>
      </c>
      <c r="L9" s="57">
        <f>'Producción MGD'!M9/22.827</f>
        <v>0</v>
      </c>
      <c r="M9" s="57">
        <f>'Producción MGD'!N9/22.827</f>
        <v>0</v>
      </c>
      <c r="N9" s="57">
        <f>'Producción MGD'!O9/22.827</f>
        <v>0</v>
      </c>
      <c r="O9" s="58">
        <f>AVERAGE(C9:N9)</f>
        <v>3.1754032541256074</v>
      </c>
      <c r="Q9" s="52">
        <f t="shared" ref="Q9:Q16" si="0">AVERAGE(C9:I9)</f>
        <v>5.4435484356438986</v>
      </c>
      <c r="R9" s="52">
        <f t="shared" ref="R9:R16" si="1">AVERAGE(J9:M9)</f>
        <v>0</v>
      </c>
      <c r="S9" s="59">
        <f t="shared" ref="S9:S16" si="2">+R9/Q9-1</f>
        <v>-1</v>
      </c>
    </row>
    <row r="10" spans="1:21" ht="16.350000000000001" customHeight="1">
      <c r="A10" s="899" t="s">
        <v>132</v>
      </c>
      <c r="B10" s="56" t="s">
        <v>133</v>
      </c>
      <c r="C10" s="57">
        <f>'Producción MGD'!D10/22.827</f>
        <v>0.53021535052576385</v>
      </c>
      <c r="D10" s="57">
        <f>'Producción MGD'!E10/22.827</f>
        <v>0.52450418990043113</v>
      </c>
      <c r="E10" s="57">
        <f>'Producción MGD'!F10/22.827</f>
        <v>0.49584744720810242</v>
      </c>
      <c r="F10" s="57">
        <f>'Producción MGD'!G10/22.827</f>
        <v>0.47960748236737194</v>
      </c>
      <c r="G10" s="57">
        <f>'Producción MGD'!H10/22.827</f>
        <v>0.46469305590295584</v>
      </c>
      <c r="H10" s="57">
        <f>'Producción MGD'!I10/22.827</f>
        <v>0.50983484470145002</v>
      </c>
      <c r="I10" s="57">
        <f>'Producción MGD'!J10/22.827</f>
        <v>0</v>
      </c>
      <c r="J10" s="57">
        <f>'Producción MGD'!K10/22.827</f>
        <v>0</v>
      </c>
      <c r="K10" s="57">
        <f>'Producción MGD'!L10/22.827</f>
        <v>0</v>
      </c>
      <c r="L10" s="57">
        <f>'Producción MGD'!M10/22.827</f>
        <v>0</v>
      </c>
      <c r="M10" s="57">
        <f>'Producción MGD'!N10/22.827</f>
        <v>0</v>
      </c>
      <c r="N10" s="57">
        <f>'Producción MGD'!O10/22.827</f>
        <v>0</v>
      </c>
      <c r="O10" s="58">
        <f t="shared" ref="O10:O38" si="3">AVERAGE(C10:N10)</f>
        <v>0.25039186421717291</v>
      </c>
      <c r="Q10" s="52">
        <f t="shared" si="0"/>
        <v>0.42924319580086784</v>
      </c>
      <c r="R10" s="52">
        <f t="shared" si="1"/>
        <v>0</v>
      </c>
      <c r="S10" s="59">
        <f t="shared" si="2"/>
        <v>-1</v>
      </c>
    </row>
    <row r="11" spans="1:21" ht="16.350000000000001" customHeight="1">
      <c r="A11" s="899"/>
      <c r="B11" s="56" t="s">
        <v>134</v>
      </c>
      <c r="C11" s="57">
        <f>'Producción MGD'!D11/22.827</f>
        <v>0.98521699685007991</v>
      </c>
      <c r="D11" s="57">
        <f>'Producción MGD'!E11/22.827</f>
        <v>0.95982983809899303</v>
      </c>
      <c r="E11" s="57">
        <f>'Producción MGD'!F11/22.827</f>
        <v>0.74787638294775438</v>
      </c>
      <c r="F11" s="57">
        <f>'Producción MGD'!G11/22.827</f>
        <v>0.91301674917130293</v>
      </c>
      <c r="G11" s="57">
        <f>'Producción MGD'!H11/22.827</f>
        <v>0.8750107752986348</v>
      </c>
      <c r="H11" s="57">
        <f>'Producción MGD'!I11/22.827</f>
        <v>0.94444444444444431</v>
      </c>
      <c r="I11" s="57">
        <f>'Producción MGD'!J11/22.827</f>
        <v>0</v>
      </c>
      <c r="J11" s="57">
        <f>'Producción MGD'!K11/22.827</f>
        <v>0</v>
      </c>
      <c r="K11" s="57">
        <f>'Producción MGD'!L11/22.827</f>
        <v>0</v>
      </c>
      <c r="L11" s="57">
        <f>'Producción MGD'!M11/22.827</f>
        <v>0</v>
      </c>
      <c r="M11" s="57">
        <f>'Producción MGD'!N11/22.827</f>
        <v>0</v>
      </c>
      <c r="N11" s="57">
        <f>'Producción MGD'!O11/22.827</f>
        <v>0</v>
      </c>
      <c r="O11" s="58">
        <f t="shared" si="3"/>
        <v>0.45211626556760082</v>
      </c>
      <c r="Q11" s="52">
        <f t="shared" si="0"/>
        <v>0.77505645525874434</v>
      </c>
      <c r="R11" s="52">
        <f t="shared" si="1"/>
        <v>0</v>
      </c>
      <c r="S11" s="59">
        <f t="shared" si="2"/>
        <v>-1</v>
      </c>
    </row>
    <row r="12" spans="1:21" ht="16.350000000000001" hidden="1" customHeight="1">
      <c r="A12" s="899"/>
      <c r="B12" s="61" t="s">
        <v>135</v>
      </c>
      <c r="C12" s="57">
        <f>+'[2]produccion -MGD'!C12/22.827</f>
        <v>7.5883298923035403</v>
      </c>
      <c r="D12" s="57">
        <f>+'[2]produccion -MGD'!D12/22.827</f>
        <v>7.4938762993697949</v>
      </c>
      <c r="E12" s="57">
        <f>+'[2]produccion -MGD'!E12/22.827</f>
        <v>7.4730094667181035</v>
      </c>
      <c r="F12" s="57">
        <f>+'[2]produccion -MGD'!F12/22.827</f>
        <v>7.2807596267577868</v>
      </c>
      <c r="G12" s="57">
        <f>+'[2]produccion -MGD'!G12/22.827</f>
        <v>7.3888603902848491</v>
      </c>
      <c r="H12" s="57">
        <f>+'[2]produccion -MGD'!H12/22.827</f>
        <v>7.6933821059856031</v>
      </c>
      <c r="I12" s="57">
        <f>+'[2]produccion -MGD'!I12/22.827</f>
        <v>7.893053924540407</v>
      </c>
      <c r="J12" s="57">
        <f>+'[2]produccion -MGD'!J12/22.827</f>
        <v>8.0698903533874002</v>
      </c>
      <c r="K12" s="57">
        <f>+'[2]produccion -MGD'!K12/22.827</f>
        <v>7.9014208320556065</v>
      </c>
      <c r="L12" s="57">
        <f>+'[2]produccion -MGD'!L12/22.827</f>
        <v>7.9130062447271685</v>
      </c>
      <c r="M12" s="57">
        <f>+'[2]produccion -MGD'!M12/22.827</f>
        <v>7.9688672770549482</v>
      </c>
      <c r="N12" s="57">
        <f>+'[2]produccion -MGD'!N12/22.827</f>
        <v>8.1108350750455376</v>
      </c>
      <c r="O12" s="62">
        <f t="shared" si="3"/>
        <v>7.7312742906858958</v>
      </c>
      <c r="Q12" s="52">
        <f t="shared" si="0"/>
        <v>7.5444673865657261</v>
      </c>
      <c r="R12" s="52">
        <f t="shared" si="1"/>
        <v>7.9632961768062804</v>
      </c>
      <c r="S12" s="59">
        <f t="shared" si="2"/>
        <v>5.5514692924029774E-2</v>
      </c>
    </row>
    <row r="13" spans="1:21" ht="16.350000000000001" customHeight="1">
      <c r="A13" s="899"/>
      <c r="B13" s="56" t="s">
        <v>136</v>
      </c>
      <c r="C13" s="57">
        <f>'Producción MGD'!D13/22.827</f>
        <v>0.32616016403890696</v>
      </c>
      <c r="D13" s="57">
        <f>'Producción MGD'!E13/22.827</f>
        <v>0.33099587581122603</v>
      </c>
      <c r="E13" s="57">
        <f>'Producción MGD'!F13/22.827</f>
        <v>0.31052926853739976</v>
      </c>
      <c r="F13" s="57">
        <f>'Producción MGD'!G13/22.827</f>
        <v>0.32338604868503673</v>
      </c>
      <c r="G13" s="57">
        <f>'Producción MGD'!H13/22.827</f>
        <v>0.3328344899998163</v>
      </c>
      <c r="H13" s="57">
        <f>'Producción MGD'!I13/22.827</f>
        <v>0.34963566536703605</v>
      </c>
      <c r="I13" s="57">
        <f>'Producción MGD'!J13/22.827</f>
        <v>0</v>
      </c>
      <c r="J13" s="57">
        <f>'Producción MGD'!K13/22.827</f>
        <v>0</v>
      </c>
      <c r="K13" s="57">
        <f>'Producción MGD'!L13/22.827</f>
        <v>0</v>
      </c>
      <c r="L13" s="57">
        <f>'Producción MGD'!M13/22.827</f>
        <v>0</v>
      </c>
      <c r="M13" s="57">
        <f>'Producción MGD'!N13/22.827</f>
        <v>0</v>
      </c>
      <c r="N13" s="57">
        <f>'Producción MGD'!O13/22.827</f>
        <v>0</v>
      </c>
      <c r="O13" s="58">
        <f t="shared" si="3"/>
        <v>0.16446179270328515</v>
      </c>
      <c r="Q13" s="63">
        <f t="shared" si="0"/>
        <v>0.28193450177706025</v>
      </c>
      <c r="R13" s="63">
        <f t="shared" si="1"/>
        <v>0</v>
      </c>
      <c r="S13" s="64">
        <f t="shared" si="2"/>
        <v>-1</v>
      </c>
      <c r="U13" s="65">
        <f>+R13-Q13</f>
        <v>-0.28193450177706025</v>
      </c>
    </row>
    <row r="14" spans="1:21" ht="16.350000000000001" customHeight="1">
      <c r="A14" s="899"/>
      <c r="B14" s="56" t="s">
        <v>138</v>
      </c>
      <c r="C14" s="57">
        <f>'Producción MGD'!D14/22.827</f>
        <v>0.38124207750583988</v>
      </c>
      <c r="D14" s="57">
        <f>'Producción MGD'!E14/22.827</f>
        <v>0.38927116384732369</v>
      </c>
      <c r="E14" s="57">
        <f>'Producción MGD'!F14/22.827</f>
        <v>0.39871289941029081</v>
      </c>
      <c r="F14" s="57">
        <f>'Producción MGD'!G14/22.827</f>
        <v>0.38673500679020451</v>
      </c>
      <c r="G14" s="57">
        <f>'Producción MGD'!H14/22.827</f>
        <v>0.3936425031478003</v>
      </c>
      <c r="H14" s="57">
        <f>'Producción MGD'!I14/22.827</f>
        <v>0.39794979629386251</v>
      </c>
      <c r="I14" s="57">
        <f>'Producción MGD'!J14/22.827</f>
        <v>0</v>
      </c>
      <c r="J14" s="57">
        <f>'Producción MGD'!K14/22.827</f>
        <v>0</v>
      </c>
      <c r="K14" s="57">
        <f>'Producción MGD'!L14/22.827</f>
        <v>0</v>
      </c>
      <c r="L14" s="57">
        <f>'Producción MGD'!M14/22.827</f>
        <v>0</v>
      </c>
      <c r="M14" s="57">
        <f>'Producción MGD'!N14/22.827</f>
        <v>0</v>
      </c>
      <c r="N14" s="57">
        <f>'Producción MGD'!O14/22.827</f>
        <v>0</v>
      </c>
      <c r="O14" s="58">
        <f t="shared" si="3"/>
        <v>0.19562945391627681</v>
      </c>
      <c r="Q14" s="52">
        <f t="shared" si="0"/>
        <v>0.33536477814218879</v>
      </c>
      <c r="R14" s="52">
        <f t="shared" si="1"/>
        <v>0</v>
      </c>
      <c r="S14" s="59">
        <f t="shared" si="2"/>
        <v>-1</v>
      </c>
    </row>
    <row r="15" spans="1:21" ht="16.350000000000001" customHeight="1">
      <c r="A15" s="899"/>
      <c r="B15" s="56" t="s">
        <v>137</v>
      </c>
      <c r="C15" s="57">
        <f>'Producción MGD'!D15/22.827</f>
        <v>0.36334165680991798</v>
      </c>
      <c r="D15" s="57">
        <f>'Producción MGD'!E15/22.827</f>
        <v>0.36334165680991809</v>
      </c>
      <c r="E15" s="57">
        <f>'Producción MGD'!F15/22.827</f>
        <v>0.36334165680991798</v>
      </c>
      <c r="F15" s="57">
        <f>'Producción MGD'!G15/22.827</f>
        <v>0.35955666535243352</v>
      </c>
      <c r="G15" s="57">
        <f>'Producción MGD'!H15/22.827</f>
        <v>0.36331904634720907</v>
      </c>
      <c r="H15" s="57">
        <f>'Producción MGD'!I15/22.827</f>
        <v>0.36334165680991809</v>
      </c>
      <c r="I15" s="57">
        <f>'Producción MGD'!J15/22.827</f>
        <v>0</v>
      </c>
      <c r="J15" s="57">
        <f>'Producción MGD'!K15/22.827</f>
        <v>0</v>
      </c>
      <c r="K15" s="57">
        <f>'Producción MGD'!L15/22.827</f>
        <v>0</v>
      </c>
      <c r="L15" s="57">
        <f>'Producción MGD'!M15/22.827</f>
        <v>0</v>
      </c>
      <c r="M15" s="57">
        <f>'Producción MGD'!N15/22.827</f>
        <v>0</v>
      </c>
      <c r="N15" s="57">
        <f>'Producción MGD'!O15/22.827</f>
        <v>0</v>
      </c>
      <c r="O15" s="58">
        <f t="shared" si="3"/>
        <v>0.18135352824494289</v>
      </c>
      <c r="Q15" s="52">
        <f t="shared" si="0"/>
        <v>0.31089176270561636</v>
      </c>
      <c r="R15" s="52">
        <f t="shared" si="1"/>
        <v>0</v>
      </c>
      <c r="S15" s="59">
        <f t="shared" si="2"/>
        <v>-1</v>
      </c>
    </row>
    <row r="16" spans="1:21" ht="16.350000000000001" customHeight="1">
      <c r="A16" s="66"/>
      <c r="B16" s="67" t="s">
        <v>139</v>
      </c>
      <c r="C16" s="325">
        <f>'Producción MGD'!D17/22.827</f>
        <v>2.5861762457305084</v>
      </c>
      <c r="D16" s="325">
        <f>'Producción MGD'!E17/22.827</f>
        <v>2.5679427244678914</v>
      </c>
      <c r="E16" s="325">
        <f>'Producción MGD'!F17/22.827</f>
        <v>2.3163076549134654</v>
      </c>
      <c r="F16" s="325">
        <f>'Producción MGD'!G17/22.827</f>
        <v>2.4623019523663494</v>
      </c>
      <c r="G16" s="325">
        <f>'Producción MGD'!H17/22.827</f>
        <v>2.4294998706964162</v>
      </c>
      <c r="H16" s="325">
        <f>'Producción MGD'!I17/22.827</f>
        <v>2.5652064076167109</v>
      </c>
      <c r="I16" s="325">
        <f>'Producción MGD'!J17/22.827</f>
        <v>0</v>
      </c>
      <c r="J16" s="325">
        <f>'Producción MGD'!K17/22.827</f>
        <v>0</v>
      </c>
      <c r="K16" s="325">
        <f>'Producción MGD'!L17/22.827</f>
        <v>0</v>
      </c>
      <c r="L16" s="325">
        <f>'Producción MGD'!M17/22.827</f>
        <v>0</v>
      </c>
      <c r="M16" s="325">
        <f>'Producción MGD'!N17/22.827</f>
        <v>0</v>
      </c>
      <c r="N16" s="325">
        <f>'Producción MGD'!O17/22.827</f>
        <v>0</v>
      </c>
      <c r="O16" s="68">
        <f t="shared" si="3"/>
        <v>1.2439529046492785</v>
      </c>
      <c r="Q16" s="52">
        <f t="shared" si="0"/>
        <v>2.1324906936844776</v>
      </c>
      <c r="R16" s="52">
        <f t="shared" si="1"/>
        <v>0</v>
      </c>
      <c r="S16" s="59">
        <f t="shared" si="2"/>
        <v>-1</v>
      </c>
    </row>
    <row r="17" spans="1:22" ht="16.350000000000001" customHeight="1">
      <c r="A17" s="55"/>
      <c r="B17" s="56" t="s">
        <v>140</v>
      </c>
      <c r="C17" s="57">
        <f>'Producción MGD'!D19/22.827</f>
        <v>1.8978939767140495</v>
      </c>
      <c r="D17" s="57">
        <f>'Producción MGD'!E19/22.827</f>
        <v>1.9092349911445716</v>
      </c>
      <c r="E17" s="57">
        <f>'Producción MGD'!F19/22.827</f>
        <v>1.6808052716293804</v>
      </c>
      <c r="F17" s="57">
        <f>'Producción MGD'!G19/22.827</f>
        <v>1.6943254333318729</v>
      </c>
      <c r="G17" s="57">
        <f>'Producción MGD'!H19/22.827</f>
        <v>1.5577492414896335</v>
      </c>
      <c r="H17" s="57">
        <f>'Producción MGD'!I19/22.827</f>
        <v>1.7333245717790335</v>
      </c>
      <c r="I17" s="57">
        <f>'Producción MGD'!J19/22.827</f>
        <v>0</v>
      </c>
      <c r="J17" s="57">
        <f>'Producción MGD'!K19/22.827</f>
        <v>0</v>
      </c>
      <c r="K17" s="57">
        <f>'Producción MGD'!L19/22.827</f>
        <v>0</v>
      </c>
      <c r="L17" s="57">
        <f>'Producción MGD'!M19/22.827</f>
        <v>0</v>
      </c>
      <c r="M17" s="57">
        <f>'Producción MGD'!N19/22.827</f>
        <v>0</v>
      </c>
      <c r="N17" s="57">
        <f>'Producción MGD'!O19/22.827</f>
        <v>0</v>
      </c>
      <c r="O17" s="58">
        <f t="shared" si="3"/>
        <v>0.87277779050737847</v>
      </c>
      <c r="Q17" s="63">
        <f>AVERAGE(C17:I17)</f>
        <v>1.4961904980126488</v>
      </c>
      <c r="R17" s="63">
        <f>AVERAGE(J17:M17)</f>
        <v>0</v>
      </c>
      <c r="S17" s="69">
        <f>+R17/Q17-1</f>
        <v>-1</v>
      </c>
      <c r="U17" s="65"/>
    </row>
    <row r="18" spans="1:22" ht="16.350000000000001" customHeight="1">
      <c r="A18" s="60"/>
      <c r="B18" s="70" t="s">
        <v>141</v>
      </c>
      <c r="C18" s="57">
        <f>'Producción MGD'!D20/22.827</f>
        <v>0.15760199085124152</v>
      </c>
      <c r="D18" s="57">
        <f>'Producción MGD'!E20/22.827</f>
        <v>0.15726989968020325</v>
      </c>
      <c r="E18" s="57">
        <f>'Producción MGD'!F20/22.827</f>
        <v>0.16115607295831053</v>
      </c>
      <c r="F18" s="57">
        <f>'Producción MGD'!G20/22.827</f>
        <v>0.16154845869657275</v>
      </c>
      <c r="G18" s="57">
        <f>'Producción MGD'!H20/22.827</f>
        <v>0.15601219269201583</v>
      </c>
      <c r="H18" s="57">
        <f>'Producción MGD'!I20/22.827</f>
        <v>0.15277230180634044</v>
      </c>
      <c r="I18" s="57">
        <f>'Producción MGD'!J20/22.827</f>
        <v>0</v>
      </c>
      <c r="J18" s="57">
        <f>'Producción MGD'!K20/22.827</f>
        <v>0</v>
      </c>
      <c r="K18" s="57">
        <f>'Producción MGD'!L20/22.827</f>
        <v>0</v>
      </c>
      <c r="L18" s="57">
        <f>'Producción MGD'!M20/22.827</f>
        <v>0</v>
      </c>
      <c r="M18" s="57">
        <f>'Producción MGD'!N20/22.827</f>
        <v>0</v>
      </c>
      <c r="N18" s="57">
        <f>'Producción MGD'!O20/22.827</f>
        <v>0</v>
      </c>
      <c r="O18" s="58">
        <f t="shared" si="3"/>
        <v>7.8863409723723688E-2</v>
      </c>
      <c r="Q18" s="52">
        <f t="shared" ref="Q18:Q29" si="4">AVERAGE(C18:I18)</f>
        <v>0.13519441666924062</v>
      </c>
      <c r="R18" s="52">
        <f t="shared" ref="R18:R29" si="5">AVERAGE(J18:M18)</f>
        <v>0</v>
      </c>
      <c r="S18" s="59">
        <f t="shared" ref="S18:S29" si="6">+R18/Q18-1</f>
        <v>-1</v>
      </c>
    </row>
    <row r="19" spans="1:22" ht="16.350000000000001" customHeight="1">
      <c r="A19" s="55"/>
      <c r="B19" s="56" t="s">
        <v>142</v>
      </c>
      <c r="C19" s="57">
        <f>'Producción MGD'!D21/22.827</f>
        <v>0</v>
      </c>
      <c r="D19" s="57">
        <f>'Producción MGD'!E21/22.827</f>
        <v>0</v>
      </c>
      <c r="E19" s="57">
        <f>'Producción MGD'!F21/22.827</f>
        <v>0</v>
      </c>
      <c r="F19" s="57">
        <f>'Producción MGD'!G21/22.827</f>
        <v>0</v>
      </c>
      <c r="G19" s="57">
        <f>'Producción MGD'!H21/22.827</f>
        <v>0</v>
      </c>
      <c r="H19" s="57">
        <f>'Producción MGD'!I21/22.827</f>
        <v>0</v>
      </c>
      <c r="I19" s="57">
        <f>'Producción MGD'!J21/22.827</f>
        <v>0</v>
      </c>
      <c r="J19" s="57">
        <f>'Producción MGD'!K21/22.827</f>
        <v>0</v>
      </c>
      <c r="K19" s="57">
        <f>'Producción MGD'!L21/22.827</f>
        <v>0</v>
      </c>
      <c r="L19" s="57">
        <f>'Producción MGD'!M21/22.827</f>
        <v>0</v>
      </c>
      <c r="M19" s="57">
        <f>'Producción MGD'!N21/22.827</f>
        <v>0</v>
      </c>
      <c r="N19" s="57">
        <f>'Producción MGD'!O21/22.827</f>
        <v>0</v>
      </c>
      <c r="O19" s="58">
        <f t="shared" si="3"/>
        <v>0</v>
      </c>
      <c r="Q19" s="52"/>
      <c r="R19" s="52"/>
      <c r="S19" s="59"/>
    </row>
    <row r="20" spans="1:22" ht="16.350000000000001" customHeight="1">
      <c r="A20" s="55"/>
      <c r="B20" s="56" t="s">
        <v>143</v>
      </c>
      <c r="C20" s="57">
        <f>'Producción MGD'!D22/22.827</f>
        <v>0.41991868712348274</v>
      </c>
      <c r="D20" s="57">
        <f>'Producción MGD'!E22/22.827</f>
        <v>0.43150654926183901</v>
      </c>
      <c r="E20" s="57">
        <f>'Producción MGD'!F22/22.827</f>
        <v>0.43427633094369006</v>
      </c>
      <c r="F20" s="57">
        <f>'Producción MGD'!G22/22.827</f>
        <v>0.48896774287758649</v>
      </c>
      <c r="G20" s="57">
        <f>'Producción MGD'!H22/22.827</f>
        <v>0.49314832322221702</v>
      </c>
      <c r="H20" s="57">
        <f>'Producción MGD'!I22/22.827</f>
        <v>0.4958601655933762</v>
      </c>
      <c r="I20" s="57">
        <f>'Producción MGD'!J22/22.827</f>
        <v>0</v>
      </c>
      <c r="J20" s="57">
        <f>'Producción MGD'!K22/22.827</f>
        <v>0</v>
      </c>
      <c r="K20" s="57">
        <f>'Producción MGD'!L22/22.827</f>
        <v>0</v>
      </c>
      <c r="L20" s="57">
        <f>'Producción MGD'!M22/22.827</f>
        <v>0</v>
      </c>
      <c r="M20" s="57">
        <f>'Producción MGD'!N22/22.827</f>
        <v>0</v>
      </c>
      <c r="N20" s="57">
        <f>'Producción MGD'!O22/22.827</f>
        <v>0</v>
      </c>
      <c r="O20" s="58">
        <f t="shared" si="3"/>
        <v>0.2303064832518493</v>
      </c>
      <c r="Q20" s="63">
        <f t="shared" si="4"/>
        <v>0.39481111414602738</v>
      </c>
      <c r="R20" s="63">
        <f t="shared" si="5"/>
        <v>0</v>
      </c>
      <c r="S20" s="69">
        <f t="shared" si="6"/>
        <v>-1</v>
      </c>
      <c r="U20" s="71">
        <f>+R20-Q20</f>
        <v>-0.39481111414602738</v>
      </c>
    </row>
    <row r="21" spans="1:22" ht="16.350000000000001" customHeight="1">
      <c r="A21" s="66"/>
      <c r="B21" s="67" t="s">
        <v>144</v>
      </c>
      <c r="C21" s="325">
        <f>'Producción MGD'!D23/22.827</f>
        <v>2.4754146546887741</v>
      </c>
      <c r="D21" s="325">
        <f>'Producción MGD'!E23/22.827</f>
        <v>2.4980114400866142</v>
      </c>
      <c r="E21" s="325">
        <f>'Producción MGD'!F23/22.827</f>
        <v>2.2762376755313811</v>
      </c>
      <c r="F21" s="325">
        <f>'Producción MGD'!G23/22.827</f>
        <v>2.3448416349060324</v>
      </c>
      <c r="G21" s="325">
        <f>'Producción MGD'!H23/22.827</f>
        <v>2.2069097574038663</v>
      </c>
      <c r="H21" s="325">
        <f>'Producción MGD'!I23/22.827</f>
        <v>2.3819570391787503</v>
      </c>
      <c r="I21" s="325">
        <f>'Producción MGD'!J23/22.827</f>
        <v>0</v>
      </c>
      <c r="J21" s="325">
        <f>'Producción MGD'!K23/22.827</f>
        <v>0</v>
      </c>
      <c r="K21" s="325">
        <f>'Producción MGD'!L23/22.827</f>
        <v>0</v>
      </c>
      <c r="L21" s="325">
        <f>'Producción MGD'!M23/22.827</f>
        <v>0</v>
      </c>
      <c r="M21" s="325">
        <f>'Producción MGD'!N23/22.827</f>
        <v>0</v>
      </c>
      <c r="N21" s="325">
        <f>'Producción MGD'!O23/22.827</f>
        <v>0</v>
      </c>
      <c r="O21" s="68">
        <f t="shared" si="3"/>
        <v>1.1819476834829514</v>
      </c>
      <c r="Q21" s="52">
        <f t="shared" si="4"/>
        <v>2.0261960288279171</v>
      </c>
      <c r="R21" s="52">
        <f t="shared" si="5"/>
        <v>0</v>
      </c>
      <c r="S21" s="59">
        <f t="shared" si="6"/>
        <v>-1</v>
      </c>
    </row>
    <row r="22" spans="1:22" ht="16.350000000000001" customHeight="1">
      <c r="A22" s="895"/>
      <c r="B22" s="56" t="s">
        <v>596</v>
      </c>
      <c r="C22" s="57">
        <f>'Producción MGD'!D25/22.827</f>
        <v>9.6122729591584369E-2</v>
      </c>
      <c r="D22" s="57">
        <f>'Producción MGD'!E25/22.827</f>
        <v>9.7721057144108794E-2</v>
      </c>
      <c r="E22" s="57">
        <f>'Producción MGD'!F25/22.827</f>
        <v>0.18472889348634963</v>
      </c>
      <c r="F22" s="57">
        <f>'Producción MGD'!G25/22.827</f>
        <v>6.8614652239307253E-2</v>
      </c>
      <c r="G22" s="57">
        <f>'Producción MGD'!H25/22.827</f>
        <v>8.1640728226477693E-2</v>
      </c>
      <c r="H22" s="57">
        <f>'Producción MGD'!I25/22.827</f>
        <v>0.1093471181787649</v>
      </c>
      <c r="I22" s="57">
        <f>'Producción MGD'!J25/22.827</f>
        <v>0</v>
      </c>
      <c r="J22" s="57">
        <f>'Producción MGD'!K25/22.827</f>
        <v>0</v>
      </c>
      <c r="K22" s="57">
        <f>'Producción MGD'!L25/22.827</f>
        <v>0</v>
      </c>
      <c r="L22" s="57">
        <f>'Producción MGD'!M25/22.827</f>
        <v>0</v>
      </c>
      <c r="M22" s="57">
        <f>'Producción MGD'!N25/22.827</f>
        <v>0</v>
      </c>
      <c r="N22" s="57">
        <f>'Producción MGD'!O25/22.827</f>
        <v>0</v>
      </c>
      <c r="O22" s="58">
        <f t="shared" si="3"/>
        <v>5.3181264905549384E-2</v>
      </c>
      <c r="Q22" s="52">
        <f t="shared" si="4"/>
        <v>9.1167882695227506E-2</v>
      </c>
      <c r="R22" s="52">
        <f t="shared" si="5"/>
        <v>0</v>
      </c>
      <c r="S22" s="59">
        <f t="shared" si="6"/>
        <v>-1</v>
      </c>
    </row>
    <row r="23" spans="1:22" ht="16.350000000000001" customHeight="1">
      <c r="A23" s="895"/>
      <c r="B23" s="56" t="s">
        <v>597</v>
      </c>
      <c r="C23" s="57">
        <f>'Producción MGD'!D26/22.827</f>
        <v>8.2658199048382147E-2</v>
      </c>
      <c r="D23" s="57">
        <f>'Producción MGD'!E26/22.827</f>
        <v>7.8847730444523714E-2</v>
      </c>
      <c r="E23" s="57">
        <f>'Producción MGD'!F26/22.827</f>
        <v>5.9869678945561063E-2</v>
      </c>
      <c r="F23" s="57"/>
      <c r="G23" s="57"/>
      <c r="H23" s="57"/>
      <c r="I23" s="57"/>
      <c r="J23" s="57"/>
      <c r="K23" s="57"/>
      <c r="L23" s="57"/>
      <c r="M23" s="57"/>
      <c r="N23" s="57"/>
      <c r="O23" s="58"/>
      <c r="Q23" s="52"/>
      <c r="R23" s="52"/>
      <c r="S23" s="59"/>
    </row>
    <row r="24" spans="1:22" ht="16.350000000000001" customHeight="1">
      <c r="A24" s="895" t="s">
        <v>146</v>
      </c>
      <c r="B24" s="56" t="s">
        <v>147</v>
      </c>
      <c r="C24" s="57">
        <f>'Producción MGD'!D27/22.827</f>
        <v>0.2556169335407843</v>
      </c>
      <c r="D24" s="57">
        <f>'Producción MGD'!E27/22.827</f>
        <v>0.26553924237588317</v>
      </c>
      <c r="E24" s="57">
        <f>'Producción MGD'!F27/22.827</f>
        <v>0.29944448919431854</v>
      </c>
      <c r="F24" s="57">
        <f>'Producción MGD'!G27/22.827</f>
        <v>0.27865831398490093</v>
      </c>
      <c r="G24" s="57">
        <f>'Producción MGD'!H27/22.827</f>
        <v>0.25172652080091912</v>
      </c>
      <c r="H24" s="57">
        <f>'Producción MGD'!I27/22.827</f>
        <v>0.2724624348359399</v>
      </c>
      <c r="I24" s="57">
        <f>'Producción MGD'!J27/22.827</f>
        <v>0</v>
      </c>
      <c r="J24" s="57">
        <f>'Producción MGD'!K27/22.827</f>
        <v>0</v>
      </c>
      <c r="K24" s="57">
        <f>'Producción MGD'!L27/22.827</f>
        <v>0</v>
      </c>
      <c r="L24" s="57">
        <f>'Producción MGD'!M27/22.827</f>
        <v>0</v>
      </c>
      <c r="M24" s="57">
        <f>'Producción MGD'!N27/22.827</f>
        <v>0</v>
      </c>
      <c r="N24" s="57">
        <f>'Producción MGD'!O27/22.827</f>
        <v>0</v>
      </c>
      <c r="O24" s="58">
        <f t="shared" si="3"/>
        <v>0.13528732789439549</v>
      </c>
      <c r="Q24" s="52">
        <f t="shared" si="4"/>
        <v>0.23192113353324942</v>
      </c>
      <c r="R24" s="52">
        <f t="shared" si="5"/>
        <v>0</v>
      </c>
      <c r="S24" s="59">
        <f t="shared" si="6"/>
        <v>-1</v>
      </c>
    </row>
    <row r="25" spans="1:22" ht="16.350000000000001" customHeight="1">
      <c r="A25" s="895"/>
      <c r="B25" s="73" t="s">
        <v>148</v>
      </c>
      <c r="C25" s="57">
        <f>'Producción MGD'!D28/22.827</f>
        <v>0.1495611450503577</v>
      </c>
      <c r="D25" s="57">
        <f>'Producción MGD'!E28/22.827</f>
        <v>0.19123656822434587</v>
      </c>
      <c r="E25" s="57">
        <f>'Producción MGD'!F28/22.827</f>
        <v>0.19320923015613939</v>
      </c>
      <c r="F25" s="57">
        <f>'Producción MGD'!G28/22.827</f>
        <v>0.172228793387947</v>
      </c>
      <c r="G25" s="57">
        <f>'Producción MGD'!H28/22.827</f>
        <v>0.16429186150526326</v>
      </c>
      <c r="H25" s="57">
        <f>'Producción MGD'!I28/22.827</f>
        <v>0.18541639286809478</v>
      </c>
      <c r="I25" s="57">
        <f>'Producción MGD'!J28/22.827</f>
        <v>0</v>
      </c>
      <c r="J25" s="57">
        <f>'Producción MGD'!K28/22.827</f>
        <v>0</v>
      </c>
      <c r="K25" s="57">
        <f>'Producción MGD'!L28/22.827</f>
        <v>0</v>
      </c>
      <c r="L25" s="57">
        <f>'Producción MGD'!M28/22.827</f>
        <v>0</v>
      </c>
      <c r="M25" s="57">
        <f>'Producción MGD'!N28/22.827</f>
        <v>0</v>
      </c>
      <c r="N25" s="57">
        <f>'Producción MGD'!O28/22.827</f>
        <v>0</v>
      </c>
      <c r="O25" s="58"/>
      <c r="Q25" s="52">
        <f t="shared" si="4"/>
        <v>0.15084914159887827</v>
      </c>
      <c r="R25" s="52">
        <f t="shared" si="5"/>
        <v>0</v>
      </c>
      <c r="S25" s="59">
        <f t="shared" si="6"/>
        <v>-1</v>
      </c>
    </row>
    <row r="26" spans="1:22" ht="16.350000000000001" customHeight="1">
      <c r="A26" s="895"/>
      <c r="B26" s="73" t="s">
        <v>149</v>
      </c>
      <c r="C26" s="57">
        <f>'Producción MGD'!D29/22.827</f>
        <v>8.953743232759169E-2</v>
      </c>
      <c r="D26" s="57">
        <f>'Producción MGD'!E29/22.827</f>
        <v>9.6347370594972129E-2</v>
      </c>
      <c r="E26" s="57">
        <f>'Producción MGD'!F29/22.827</f>
        <v>9.9315044295309574E-2</v>
      </c>
      <c r="F26" s="57">
        <f>'Producción MGD'!G29/22.827</f>
        <v>0.10555336516698062</v>
      </c>
      <c r="G26" s="57">
        <f>'Producción MGD'!H29/22.827</f>
        <v>0.10503690451460282</v>
      </c>
      <c r="H26" s="57">
        <f>'Producción MGD'!I29/22.827</f>
        <v>9.921876140827382E-2</v>
      </c>
      <c r="I26" s="57">
        <f>'Producción MGD'!J29/22.827</f>
        <v>0</v>
      </c>
      <c r="J26" s="57">
        <f>'Producción MGD'!K29/22.827</f>
        <v>0</v>
      </c>
      <c r="K26" s="57">
        <f>'Producción MGD'!L29/22.827</f>
        <v>0</v>
      </c>
      <c r="L26" s="57">
        <f>'Producción MGD'!M29/22.827</f>
        <v>0</v>
      </c>
      <c r="M26" s="57">
        <f>'Producción MGD'!N29/22.827</f>
        <v>0</v>
      </c>
      <c r="N26" s="57">
        <f>'Producción MGD'!O29/22.827</f>
        <v>0</v>
      </c>
      <c r="O26" s="58"/>
      <c r="Q26" s="74">
        <f t="shared" si="4"/>
        <v>8.5001268329675805E-2</v>
      </c>
      <c r="R26" s="74">
        <f t="shared" si="5"/>
        <v>0</v>
      </c>
      <c r="S26" s="59">
        <f>+R26/Q26-1</f>
        <v>-1</v>
      </c>
    </row>
    <row r="27" spans="1:22" ht="16.350000000000001" customHeight="1">
      <c r="A27" s="895"/>
      <c r="B27" s="56" t="s">
        <v>138</v>
      </c>
      <c r="C27" s="57">
        <f>'Producción MGD'!D30/22.827</f>
        <v>1.9147486635096806</v>
      </c>
      <c r="D27" s="57">
        <f>'Producción MGD'!E30/22.827</f>
        <v>1.9402931365738569</v>
      </c>
      <c r="E27" s="57">
        <f>'Producción MGD'!F30/22.827</f>
        <v>1.9700284185253172</v>
      </c>
      <c r="F27" s="57">
        <f>'Producción MGD'!G30/22.827</f>
        <v>1.9386924840466697</v>
      </c>
      <c r="G27" s="57">
        <f>'Producción MGD'!H30/22.827</f>
        <v>1.8816017251783046</v>
      </c>
      <c r="H27" s="57">
        <f>'Producción MGD'!I30/22.827</f>
        <v>1.8060542340211154</v>
      </c>
      <c r="I27" s="57">
        <f>'Producción MGD'!J30/22.827</f>
        <v>0</v>
      </c>
      <c r="J27" s="57">
        <f>'Producción MGD'!K30/22.827</f>
        <v>0</v>
      </c>
      <c r="K27" s="57">
        <f>'Producción MGD'!L30/22.827</f>
        <v>0</v>
      </c>
      <c r="L27" s="57">
        <f>'Producción MGD'!M30/22.827</f>
        <v>0</v>
      </c>
      <c r="M27" s="57">
        <f>'Producción MGD'!N30/22.827</f>
        <v>0</v>
      </c>
      <c r="N27" s="57">
        <f>'Producción MGD'!O30/22.827</f>
        <v>0</v>
      </c>
      <c r="O27" s="58">
        <f t="shared" si="3"/>
        <v>0.95428488848791204</v>
      </c>
      <c r="Q27" s="52">
        <f t="shared" si="4"/>
        <v>1.6359169516935634</v>
      </c>
      <c r="R27" s="52">
        <f t="shared" si="5"/>
        <v>0</v>
      </c>
      <c r="S27" s="59">
        <f t="shared" si="6"/>
        <v>-1</v>
      </c>
    </row>
    <row r="28" spans="1:22" ht="16.350000000000001" customHeight="1">
      <c r="A28" s="66"/>
      <c r="B28" s="67" t="s">
        <v>150</v>
      </c>
      <c r="C28" s="325">
        <f>'Producción MGD'!D31/22.827</f>
        <v>2.5882451030683811</v>
      </c>
      <c r="D28" s="325">
        <f>'Producción MGD'!E31/22.827</f>
        <v>2.6699851053576906</v>
      </c>
      <c r="E28" s="325">
        <f>'Producción MGD'!F31/22.827</f>
        <v>2.8065957546029954</v>
      </c>
      <c r="F28" s="325">
        <f>'Producción MGD'!G31/22.827</f>
        <v>2.6466552766460767</v>
      </c>
      <c r="G28" s="325">
        <f>'Producción MGD'!H31/22.827</f>
        <v>2.5535182586552145</v>
      </c>
      <c r="H28" s="325">
        <f>'Producción MGD'!I31/22.827</f>
        <v>2.5310567894744529</v>
      </c>
      <c r="I28" s="325">
        <f>'Producción MGD'!J31/22.827</f>
        <v>0</v>
      </c>
      <c r="J28" s="325">
        <f>'Producción MGD'!K31/22.827</f>
        <v>0</v>
      </c>
      <c r="K28" s="325">
        <f>'Producción MGD'!L31/22.827</f>
        <v>0</v>
      </c>
      <c r="L28" s="325">
        <f>'Producción MGD'!M31/22.827</f>
        <v>0</v>
      </c>
      <c r="M28" s="325">
        <f>'Producción MGD'!N31/22.827</f>
        <v>0</v>
      </c>
      <c r="N28" s="325">
        <f>'Producción MGD'!O31/22.827</f>
        <v>0</v>
      </c>
      <c r="O28" s="68">
        <f t="shared" si="3"/>
        <v>1.3163380239837343</v>
      </c>
      <c r="Q28" s="52">
        <f t="shared" si="4"/>
        <v>2.2565794696864017</v>
      </c>
      <c r="R28" s="52">
        <f t="shared" si="5"/>
        <v>0</v>
      </c>
      <c r="S28" s="59">
        <f t="shared" si="6"/>
        <v>-1</v>
      </c>
    </row>
    <row r="29" spans="1:22" ht="16.350000000000001" customHeight="1">
      <c r="A29" s="55"/>
      <c r="B29" s="56" t="s">
        <v>151</v>
      </c>
      <c r="C29" s="57">
        <f>'Producción MGD'!D33/22.827</f>
        <v>1.0201840774295294</v>
      </c>
      <c r="D29" s="57">
        <f>'Producción MGD'!E33/22.827</f>
        <v>1.0150104199913637</v>
      </c>
      <c r="E29" s="57">
        <f>'Producción MGD'!F33/22.827</f>
        <v>1.0675247337264726</v>
      </c>
      <c r="F29" s="57">
        <f>'Producción MGD'!G33/22.827</f>
        <v>1.0047750470933543</v>
      </c>
      <c r="G29" s="57">
        <f>'Producción MGD'!H33/22.827</f>
        <v>0.98896750735193328</v>
      </c>
      <c r="H29" s="57">
        <f>'Producción MGD'!I33/22.827</f>
        <v>1.0851915129744014</v>
      </c>
      <c r="I29" s="57">
        <f>'Producción MGD'!J33/22.827</f>
        <v>0</v>
      </c>
      <c r="J29" s="57">
        <f>'Producción MGD'!K33/22.827</f>
        <v>0</v>
      </c>
      <c r="K29" s="57">
        <f>'Producción MGD'!L33/22.827</f>
        <v>0</v>
      </c>
      <c r="L29" s="57">
        <f>'Producción MGD'!M33/22.827</f>
        <v>0</v>
      </c>
      <c r="M29" s="57">
        <f>'Producción MGD'!N33/22.827</f>
        <v>0</v>
      </c>
      <c r="N29" s="57">
        <f>'Producción MGD'!O33/22.827</f>
        <v>0</v>
      </c>
      <c r="O29" s="58">
        <f t="shared" si="3"/>
        <v>0.51513777488058798</v>
      </c>
      <c r="Q29" s="63">
        <f t="shared" si="4"/>
        <v>0.88309332836672216</v>
      </c>
      <c r="R29" s="63">
        <f t="shared" si="5"/>
        <v>0</v>
      </c>
      <c r="S29" s="64">
        <f t="shared" si="6"/>
        <v>-1</v>
      </c>
      <c r="U29" s="65">
        <f>+R29-Q29</f>
        <v>-0.88309332836672216</v>
      </c>
    </row>
    <row r="30" spans="1:22" ht="16.350000000000001" customHeight="1">
      <c r="A30" s="895" t="s">
        <v>152</v>
      </c>
      <c r="B30" s="56" t="s">
        <v>153</v>
      </c>
      <c r="C30" s="57">
        <f>'Producción MGD'!D34/22.827</f>
        <v>0</v>
      </c>
      <c r="D30" s="57">
        <f>'Producción MGD'!E34/22.827</f>
        <v>0</v>
      </c>
      <c r="E30" s="57">
        <f>'Producción MGD'!F34/22.827</f>
        <v>0</v>
      </c>
      <c r="F30" s="57">
        <f>'Producción MGD'!G34/22.827</f>
        <v>0</v>
      </c>
      <c r="G30" s="57">
        <f>'Producción MGD'!H34/22.827</f>
        <v>0</v>
      </c>
      <c r="H30" s="57">
        <f>'Producción MGD'!I34/22.827</f>
        <v>0</v>
      </c>
      <c r="I30" s="57">
        <f>'Producción MGD'!J34/22.827</f>
        <v>0</v>
      </c>
      <c r="J30" s="57">
        <f>'Producción MGD'!K34/22.827</f>
        <v>0</v>
      </c>
      <c r="K30" s="57">
        <f>'Producción MGD'!L34/22.827</f>
        <v>0</v>
      </c>
      <c r="L30" s="57">
        <f>'Producción MGD'!M34/22.827</f>
        <v>0</v>
      </c>
      <c r="M30" s="57">
        <f>'Producción MGD'!N34/22.827</f>
        <v>0</v>
      </c>
      <c r="N30" s="57">
        <f>'Producción MGD'!O34/22.827</f>
        <v>0</v>
      </c>
      <c r="O30" s="58">
        <f t="shared" si="3"/>
        <v>0</v>
      </c>
      <c r="Q30" s="52">
        <f>AVERAGE(C30:I30)</f>
        <v>0</v>
      </c>
      <c r="R30" s="52">
        <f>AVERAGE(J30:M30)</f>
        <v>0</v>
      </c>
      <c r="S30" s="59" t="e">
        <f>+R30/Q30-1</f>
        <v>#DIV/0!</v>
      </c>
    </row>
    <row r="31" spans="1:22" ht="16.350000000000001" customHeight="1">
      <c r="A31" s="895"/>
      <c r="B31" s="56" t="s">
        <v>154</v>
      </c>
      <c r="C31" s="57">
        <f>'Producción MGD'!D35/22.827</f>
        <v>0</v>
      </c>
      <c r="D31" s="57">
        <f>'Producción MGD'!E35/22.827</f>
        <v>0</v>
      </c>
      <c r="E31" s="57">
        <f>'Producción MGD'!F35/22.827</f>
        <v>0</v>
      </c>
      <c r="F31" s="57">
        <f>'Producción MGD'!G35/22.827</f>
        <v>0</v>
      </c>
      <c r="G31" s="57">
        <f>'Producción MGD'!H35/22.827</f>
        <v>0</v>
      </c>
      <c r="H31" s="57">
        <f>'Producción MGD'!I35/22.827</f>
        <v>0</v>
      </c>
      <c r="I31" s="57">
        <f>'Producción MGD'!J35/22.827</f>
        <v>0</v>
      </c>
      <c r="J31" s="57">
        <f>'Producción MGD'!K35/22.827</f>
        <v>0</v>
      </c>
      <c r="K31" s="57">
        <f>'Producción MGD'!L35/22.827</f>
        <v>0</v>
      </c>
      <c r="L31" s="57">
        <f>'Producción MGD'!M35/22.827</f>
        <v>0</v>
      </c>
      <c r="M31" s="57">
        <f>'Producción MGD'!N35/22.827</f>
        <v>0</v>
      </c>
      <c r="N31" s="57">
        <f>'Producción MGD'!O35/22.827</f>
        <v>0</v>
      </c>
      <c r="O31" s="58">
        <f t="shared" si="3"/>
        <v>0</v>
      </c>
      <c r="Q31" s="52"/>
      <c r="R31" s="52"/>
      <c r="S31" s="59"/>
    </row>
    <row r="32" spans="1:22" ht="16.350000000000001" customHeight="1">
      <c r="A32" s="895"/>
      <c r="B32" s="56" t="s">
        <v>155</v>
      </c>
      <c r="C32" s="57">
        <f>'Producción MGD'!D36/22.827</f>
        <v>1.015577195652573</v>
      </c>
      <c r="D32" s="57">
        <f>'Producción MGD'!E36/22.827</f>
        <v>0.96608652660696281</v>
      </c>
      <c r="E32" s="57">
        <f>'Producción MGD'!F36/22.827</f>
        <v>0.93095753896418632</v>
      </c>
      <c r="F32" s="57">
        <f>'Producción MGD'!G36/22.827</f>
        <v>0.95519925234736636</v>
      </c>
      <c r="G32" s="57">
        <f>'Producción MGD'!H36/22.827</f>
        <v>0.9590086442625243</v>
      </c>
      <c r="H32" s="57">
        <f>'Producción MGD'!I36/22.827</f>
        <v>0.81089645303076752</v>
      </c>
      <c r="I32" s="57">
        <f>'Producción MGD'!J36/22.827</f>
        <v>0</v>
      </c>
      <c r="J32" s="57">
        <f>'Producción MGD'!K36/22.827</f>
        <v>0</v>
      </c>
      <c r="K32" s="57">
        <f>'Producción MGD'!L36/22.827</f>
        <v>0</v>
      </c>
      <c r="L32" s="57">
        <f>'Producción MGD'!M36/22.827</f>
        <v>0</v>
      </c>
      <c r="M32" s="57">
        <f>'Producción MGD'!N36/22.827</f>
        <v>0</v>
      </c>
      <c r="N32" s="57">
        <f>'Producción MGD'!O36/22.827</f>
        <v>0</v>
      </c>
      <c r="O32" s="58">
        <f t="shared" si="3"/>
        <v>0.46981046757203165</v>
      </c>
      <c r="Q32" s="63">
        <f>AVERAGE(C32:H32)</f>
        <v>0.93962093514406331</v>
      </c>
      <c r="R32" s="63">
        <f>AVERAGE(I32:M32)</f>
        <v>0</v>
      </c>
      <c r="S32" s="64">
        <f t="shared" ref="S32:S38" si="7">+R32/Q32-1</f>
        <v>-1</v>
      </c>
      <c r="U32" s="65">
        <f>+R32-Q32</f>
        <v>-0.93962093514406331</v>
      </c>
      <c r="V32">
        <f>+U32*22.827</f>
        <v>-21.448727086533534</v>
      </c>
    </row>
    <row r="33" spans="1:22" ht="16.350000000000001" customHeight="1">
      <c r="A33" s="895"/>
      <c r="B33" s="56" t="s">
        <v>156</v>
      </c>
      <c r="C33" s="57">
        <f>'Producción MGD'!D37/22.827</f>
        <v>0</v>
      </c>
      <c r="D33" s="57">
        <f>'Producción MGD'!E37/22.827</f>
        <v>0</v>
      </c>
      <c r="E33" s="57">
        <f>'Producción MGD'!F37/22.827</f>
        <v>0</v>
      </c>
      <c r="F33" s="57">
        <f>'Producción MGD'!G37/22.827</f>
        <v>0</v>
      </c>
      <c r="G33" s="57">
        <f>'Producción MGD'!H37/22.827</f>
        <v>0</v>
      </c>
      <c r="H33" s="57">
        <f>'Producción MGD'!I37/22.827</f>
        <v>0</v>
      </c>
      <c r="I33" s="57">
        <f>'Producción MGD'!J37/22.827</f>
        <v>0</v>
      </c>
      <c r="J33" s="57">
        <f>'Producción MGD'!K37/22.827</f>
        <v>0</v>
      </c>
      <c r="K33" s="57">
        <f>'Producción MGD'!L37/22.827</f>
        <v>0</v>
      </c>
      <c r="L33" s="57">
        <f>'Producción MGD'!M37/22.827</f>
        <v>0</v>
      </c>
      <c r="M33" s="57">
        <f>'Producción MGD'!N37/22.827</f>
        <v>0</v>
      </c>
      <c r="N33" s="57">
        <f>'Producción MGD'!O37/22.827</f>
        <v>0</v>
      </c>
      <c r="O33" s="58">
        <f t="shared" si="3"/>
        <v>0</v>
      </c>
      <c r="Q33" s="52"/>
      <c r="R33" s="52"/>
      <c r="S33" s="59"/>
    </row>
    <row r="34" spans="1:22" ht="16.350000000000001" customHeight="1">
      <c r="A34" s="895"/>
      <c r="B34" s="56" t="s">
        <v>157</v>
      </c>
      <c r="C34" s="57">
        <f>'Producción MGD'!D38/22.827</f>
        <v>0</v>
      </c>
      <c r="D34" s="57">
        <f>'Producción MGD'!E38/22.827</f>
        <v>0</v>
      </c>
      <c r="E34" s="57">
        <f>'Producción MGD'!F38/22.827</f>
        <v>0</v>
      </c>
      <c r="F34" s="57">
        <f>'Producción MGD'!G38/22.827</f>
        <v>0</v>
      </c>
      <c r="G34" s="57">
        <f>'Producción MGD'!H38/22.827</f>
        <v>0</v>
      </c>
      <c r="H34" s="57">
        <f>'Producción MGD'!I38/22.827</f>
        <v>0</v>
      </c>
      <c r="I34" s="57">
        <f>'Producción MGD'!J38/22.827</f>
        <v>0</v>
      </c>
      <c r="J34" s="57">
        <f>'Producción MGD'!K38/22.827</f>
        <v>0</v>
      </c>
      <c r="K34" s="57">
        <f>'Producción MGD'!L38/22.827</f>
        <v>0</v>
      </c>
      <c r="L34" s="57">
        <f>'Producción MGD'!M38/22.827</f>
        <v>0</v>
      </c>
      <c r="M34" s="57">
        <f>'Producción MGD'!N38/22.827</f>
        <v>0</v>
      </c>
      <c r="N34" s="57">
        <f>'Producción MGD'!O38/22.827</f>
        <v>0</v>
      </c>
      <c r="O34" s="58">
        <f t="shared" si="3"/>
        <v>0</v>
      </c>
      <c r="Q34" s="52"/>
      <c r="R34" s="52"/>
      <c r="S34" s="59"/>
    </row>
    <row r="35" spans="1:22" ht="16.350000000000001" customHeight="1">
      <c r="A35" s="55"/>
      <c r="B35" s="56" t="s">
        <v>158</v>
      </c>
      <c r="C35" s="57">
        <f>'Producción MGD'!D39/22.827</f>
        <v>3.6910195481581658</v>
      </c>
      <c r="D35" s="57">
        <f>'Producción MGD'!E39/22.827</f>
        <v>3.848570614998529</v>
      </c>
      <c r="E35" s="57">
        <f>'Producción MGD'!F39/22.827</f>
        <v>3.5295667128767998</v>
      </c>
      <c r="F35" s="57">
        <f>'Producción MGD'!G39/22.827</f>
        <v>3.4396693973510897</v>
      </c>
      <c r="G35" s="57">
        <f>'Producción MGD'!H39/22.827</f>
        <v>3.1925718977385293</v>
      </c>
      <c r="H35" s="57">
        <f>'Producción MGD'!I39/22.827</f>
        <v>3.4636702150961578</v>
      </c>
      <c r="I35" s="57">
        <f>'Producción MGD'!J39/22.827</f>
        <v>0</v>
      </c>
      <c r="J35" s="57">
        <f>'Producción MGD'!K39/22.827</f>
        <v>0</v>
      </c>
      <c r="K35" s="57">
        <f>'Producción MGD'!L39/22.827</f>
        <v>0</v>
      </c>
      <c r="L35" s="57">
        <f>'Producción MGD'!M39/22.827</f>
        <v>0</v>
      </c>
      <c r="M35" s="57">
        <f>'Producción MGD'!N39/22.827</f>
        <v>0</v>
      </c>
      <c r="N35" s="57">
        <f>'Producción MGD'!O39/22.827</f>
        <v>0</v>
      </c>
      <c r="O35" s="58">
        <f t="shared" si="3"/>
        <v>1.7637556988516059</v>
      </c>
      <c r="Q35" s="63">
        <f>AVERAGE(C35:L35)</f>
        <v>2.1165068386219272</v>
      </c>
      <c r="R35" s="63">
        <f>+M35</f>
        <v>0</v>
      </c>
      <c r="S35" s="64">
        <f t="shared" si="7"/>
        <v>-1</v>
      </c>
      <c r="U35" s="65">
        <f>+R35-Q35</f>
        <v>-2.1165068386219272</v>
      </c>
      <c r="V35">
        <f>+U35*22.827</f>
        <v>-48.31350160522274</v>
      </c>
    </row>
    <row r="36" spans="1:22" ht="16.350000000000001" customHeight="1">
      <c r="A36" s="55"/>
      <c r="B36" s="56" t="s">
        <v>138</v>
      </c>
      <c r="C36" s="57">
        <f>'Producción MGD'!D40/22.827</f>
        <v>6.8114018910825747E-2</v>
      </c>
      <c r="D36" s="57">
        <f>'Producción MGD'!E40/22.827</f>
        <v>6.4350487205001597E-2</v>
      </c>
      <c r="E36" s="57">
        <f>'Producción MGD'!F40/22.827</f>
        <v>6.3583447445512323E-2</v>
      </c>
      <c r="F36" s="57">
        <f>'Producción MGD'!G40/22.827</f>
        <v>7.3173580993268192E-2</v>
      </c>
      <c r="G36" s="57">
        <f>'Producción MGD'!H40/22.827</f>
        <v>6.622039265894801E-2</v>
      </c>
      <c r="H36" s="57">
        <f>'Producción MGD'!I40/22.827</f>
        <v>6.934770228238489E-2</v>
      </c>
      <c r="I36" s="57">
        <f>'Producción MGD'!J40/22.827</f>
        <v>0</v>
      </c>
      <c r="J36" s="57">
        <f>'Producción MGD'!K40/22.827</f>
        <v>0</v>
      </c>
      <c r="K36" s="57">
        <f>'Producción MGD'!L40/22.827</f>
        <v>0</v>
      </c>
      <c r="L36" s="57">
        <f>'Producción MGD'!M40/22.827</f>
        <v>0</v>
      </c>
      <c r="M36" s="57">
        <f>'Producción MGD'!N40/22.827</f>
        <v>0</v>
      </c>
      <c r="N36" s="57">
        <f>'Producción MGD'!O40/22.827</f>
        <v>0</v>
      </c>
      <c r="O36" s="58">
        <f t="shared" si="3"/>
        <v>3.3732469124661733E-2</v>
      </c>
      <c r="Q36" s="52">
        <f>AVERAGE(C36:I36)</f>
        <v>5.7827089927991536E-2</v>
      </c>
      <c r="R36" s="52">
        <f>AVERAGE(J36:M36)</f>
        <v>0</v>
      </c>
      <c r="S36" s="59">
        <f t="shared" si="7"/>
        <v>-1</v>
      </c>
      <c r="U36" s="14"/>
    </row>
    <row r="37" spans="1:22" ht="16.350000000000001" customHeight="1">
      <c r="A37" s="66"/>
      <c r="B37" s="67" t="s">
        <v>159</v>
      </c>
      <c r="C37" s="72">
        <f>SUM(C29:C36)</f>
        <v>5.7948948401510938</v>
      </c>
      <c r="D37" s="72">
        <f t="shared" ref="D37:M37" si="8">SUM(D29:D36)</f>
        <v>5.8940180488018568</v>
      </c>
      <c r="E37" s="72">
        <f t="shared" si="8"/>
        <v>5.591632433012971</v>
      </c>
      <c r="F37" s="72">
        <f t="shared" si="8"/>
        <v>5.4728172777850785</v>
      </c>
      <c r="G37" s="72">
        <f t="shared" si="8"/>
        <v>5.2067684420119349</v>
      </c>
      <c r="H37" s="72">
        <f t="shared" si="8"/>
        <v>5.4291058833837118</v>
      </c>
      <c r="I37" s="72">
        <f t="shared" si="8"/>
        <v>0</v>
      </c>
      <c r="J37" s="72">
        <f t="shared" si="8"/>
        <v>0</v>
      </c>
      <c r="K37" s="72">
        <f t="shared" si="8"/>
        <v>0</v>
      </c>
      <c r="L37" s="72">
        <f t="shared" si="8"/>
        <v>0</v>
      </c>
      <c r="M37" s="72">
        <f t="shared" si="8"/>
        <v>0</v>
      </c>
      <c r="N37" s="72">
        <f>SUM(N29:N36)</f>
        <v>0</v>
      </c>
      <c r="O37" s="68">
        <f t="shared" si="3"/>
        <v>2.7824364104288875</v>
      </c>
      <c r="Q37" s="52"/>
      <c r="R37" s="52"/>
      <c r="S37" s="59"/>
    </row>
    <row r="38" spans="1:22" ht="16.350000000000001" customHeight="1">
      <c r="A38" s="55"/>
      <c r="B38" s="61" t="s">
        <v>160</v>
      </c>
      <c r="C38" s="75">
        <f t="shared" ref="C38:M38" si="9">+C39-C12</f>
        <v>12.31253170764106</v>
      </c>
      <c r="D38" s="75">
        <f t="shared" si="9"/>
        <v>12.505721607870374</v>
      </c>
      <c r="E38" s="75">
        <f t="shared" si="9"/>
        <v>11.795824695430003</v>
      </c>
      <c r="F38" s="75">
        <f t="shared" si="9"/>
        <v>11.828851798309019</v>
      </c>
      <c r="G38" s="75">
        <f t="shared" si="9"/>
        <v>11.321515127106126</v>
      </c>
      <c r="H38" s="75">
        <f t="shared" si="9"/>
        <v>11.718276602269238</v>
      </c>
      <c r="I38" s="75">
        <f t="shared" si="9"/>
        <v>-7.893053924540407</v>
      </c>
      <c r="J38" s="75">
        <f t="shared" si="9"/>
        <v>-8.0698903533874002</v>
      </c>
      <c r="K38" s="75">
        <f t="shared" si="9"/>
        <v>-7.9014208320556065</v>
      </c>
      <c r="L38" s="75">
        <f t="shared" si="9"/>
        <v>-7.9130062447271685</v>
      </c>
      <c r="M38" s="75">
        <f t="shared" si="9"/>
        <v>-7.9688672770549482</v>
      </c>
      <c r="N38" s="75">
        <f>+N39-N12</f>
        <v>-8.1108350750455376</v>
      </c>
      <c r="O38" s="62">
        <f t="shared" si="3"/>
        <v>1.9688039859845627</v>
      </c>
      <c r="Q38" s="52">
        <f>AVERAGE(C38:I38)</f>
        <v>9.0842382305836313</v>
      </c>
      <c r="R38" s="52">
        <f>AVERAGE(J38:M38)</f>
        <v>-7.9632961768062804</v>
      </c>
      <c r="S38" s="59">
        <f t="shared" si="7"/>
        <v>-1.8766058281030644</v>
      </c>
    </row>
    <row r="39" spans="1:22" ht="16.350000000000001" customHeight="1" thickBot="1">
      <c r="A39" s="896" t="s">
        <v>161</v>
      </c>
      <c r="B39" s="896"/>
      <c r="C39" s="76">
        <f>+C37+C28+C21+C16+C9</f>
        <v>19.900861599944601</v>
      </c>
      <c r="D39" s="76">
        <f t="shared" ref="D39:L39" si="10">+D37+D28+D21+D16+D9</f>
        <v>19.999597907240169</v>
      </c>
      <c r="E39" s="76">
        <f t="shared" si="10"/>
        <v>19.268834162148107</v>
      </c>
      <c r="F39" s="76">
        <f t="shared" si="10"/>
        <v>19.109611425066806</v>
      </c>
      <c r="G39" s="76">
        <f t="shared" si="10"/>
        <v>18.710375517390975</v>
      </c>
      <c r="H39" s="76">
        <f t="shared" si="10"/>
        <v>19.411658708254841</v>
      </c>
      <c r="I39" s="76">
        <f t="shared" si="10"/>
        <v>0</v>
      </c>
      <c r="J39" s="76">
        <f t="shared" si="10"/>
        <v>0</v>
      </c>
      <c r="K39" s="76">
        <f t="shared" si="10"/>
        <v>0</v>
      </c>
      <c r="L39" s="76">
        <f t="shared" si="10"/>
        <v>0</v>
      </c>
      <c r="M39" s="76">
        <f>+M37+M28+M21+M16+M9</f>
        <v>0</v>
      </c>
      <c r="N39" s="76">
        <f>+N37+N28+N21+N16+N9</f>
        <v>0</v>
      </c>
      <c r="O39" s="77">
        <f>AVERAGE(C39:N39)</f>
        <v>9.7000782766704585</v>
      </c>
      <c r="P39" s="52">
        <f>+N39*22.827</f>
        <v>0</v>
      </c>
      <c r="Q39" s="52"/>
      <c r="R39" s="52"/>
      <c r="S39" s="59"/>
      <c r="U39" s="78">
        <f>SUM(U13:U35)</f>
        <v>-4.6159667180557999</v>
      </c>
    </row>
    <row r="40" spans="1:22" ht="13.5" customHeight="1" thickTop="1">
      <c r="D40" s="14">
        <f>+D39-$C$39</f>
        <v>9.8736307295567372E-2</v>
      </c>
      <c r="E40" s="14">
        <f t="shared" ref="E40:L40" si="11">+E39-$C$39</f>
        <v>-0.63202743779649495</v>
      </c>
      <c r="F40" s="14">
        <f t="shared" si="11"/>
        <v>-0.79125017487779559</v>
      </c>
      <c r="G40" s="14">
        <f t="shared" si="11"/>
        <v>-1.1904860825536261</v>
      </c>
      <c r="H40" s="14">
        <f t="shared" si="11"/>
        <v>-0.48920289168976083</v>
      </c>
      <c r="I40" s="14">
        <f t="shared" si="11"/>
        <v>-19.900861599944601</v>
      </c>
      <c r="J40" s="14">
        <f t="shared" si="11"/>
        <v>-19.900861599944601</v>
      </c>
      <c r="K40" s="14">
        <f t="shared" si="11"/>
        <v>-19.900861599944601</v>
      </c>
      <c r="L40" s="14">
        <f t="shared" si="11"/>
        <v>-19.900861599944601</v>
      </c>
      <c r="M40" s="59"/>
      <c r="N40" s="14"/>
      <c r="O40" s="14"/>
      <c r="Q40" s="52"/>
      <c r="R40" s="52"/>
      <c r="S40" s="59"/>
    </row>
    <row r="41" spans="1:22" ht="13.5" customHeight="1">
      <c r="C41" s="79"/>
      <c r="D41" s="79"/>
      <c r="E41" s="59"/>
      <c r="F41" s="59"/>
      <c r="G41" s="59"/>
      <c r="H41" s="59"/>
      <c r="I41" s="59"/>
      <c r="J41" s="59"/>
      <c r="K41" s="59"/>
      <c r="L41" s="59"/>
      <c r="M41" s="59"/>
      <c r="N41" s="14"/>
      <c r="O41" s="14"/>
      <c r="Q41" s="52"/>
      <c r="R41" s="52"/>
      <c r="S41" s="59"/>
    </row>
    <row r="42" spans="1:22" ht="16.5" thickBot="1">
      <c r="A42" t="s">
        <v>162</v>
      </c>
      <c r="Q42" s="52"/>
    </row>
    <row r="43" spans="1:22" ht="17.25" thickTop="1" thickBot="1">
      <c r="A43" s="897" t="s">
        <v>163</v>
      </c>
      <c r="B43" s="897"/>
      <c r="C43" s="80" t="s">
        <v>117</v>
      </c>
      <c r="D43" s="80" t="s">
        <v>118</v>
      </c>
      <c r="E43" s="80" t="s">
        <v>119</v>
      </c>
      <c r="F43" s="80" t="s">
        <v>120</v>
      </c>
      <c r="G43" s="80" t="s">
        <v>121</v>
      </c>
      <c r="H43" s="80" t="s">
        <v>122</v>
      </c>
      <c r="I43" s="80" t="s">
        <v>123</v>
      </c>
      <c r="J43" s="80" t="s">
        <v>124</v>
      </c>
      <c r="K43" s="80" t="s">
        <v>125</v>
      </c>
      <c r="L43" s="80" t="s">
        <v>126</v>
      </c>
      <c r="M43" s="80" t="s">
        <v>127</v>
      </c>
      <c r="N43" s="80" t="s">
        <v>128</v>
      </c>
      <c r="O43" s="81" t="s">
        <v>49</v>
      </c>
      <c r="Q43">
        <v>15.54</v>
      </c>
    </row>
    <row r="44" spans="1:22" ht="16.5" thickTop="1">
      <c r="A44" s="82" t="s">
        <v>164</v>
      </c>
      <c r="B44" s="83"/>
      <c r="C44" s="83">
        <f>+C9+C13+C17</f>
        <v>8.6801848970588011</v>
      </c>
      <c r="D44" s="83">
        <f t="shared" ref="D44:O44" si="12">+D9+D13+D17</f>
        <v>8.6098714554819153</v>
      </c>
      <c r="E44" s="83">
        <f t="shared" si="12"/>
        <v>8.2693951842540727</v>
      </c>
      <c r="F44" s="83">
        <f t="shared" si="12"/>
        <v>8.2007067653801773</v>
      </c>
      <c r="G44" s="83">
        <f t="shared" si="12"/>
        <v>8.2042629201129937</v>
      </c>
      <c r="H44" s="83">
        <f t="shared" si="12"/>
        <v>8.5872928257472871</v>
      </c>
      <c r="I44" s="83">
        <f t="shared" si="12"/>
        <v>0</v>
      </c>
      <c r="J44" s="83">
        <f t="shared" si="12"/>
        <v>0</v>
      </c>
      <c r="K44" s="83">
        <f t="shared" si="12"/>
        <v>0</v>
      </c>
      <c r="L44" s="83">
        <f t="shared" si="12"/>
        <v>0</v>
      </c>
      <c r="M44" s="83">
        <f t="shared" si="12"/>
        <v>0</v>
      </c>
      <c r="N44" s="83">
        <f t="shared" si="12"/>
        <v>0</v>
      </c>
      <c r="O44" s="83">
        <f t="shared" si="12"/>
        <v>4.2126428373362712</v>
      </c>
      <c r="Q44" s="84">
        <f>+O39/Q43-1</f>
        <v>-0.37579933869559468</v>
      </c>
    </row>
    <row r="45" spans="1:22" ht="16.5" thickBot="1">
      <c r="A45" s="85" t="s">
        <v>165</v>
      </c>
      <c r="B45" s="86"/>
      <c r="C45" s="86">
        <f>+C39-C44</f>
        <v>11.2206767028858</v>
      </c>
      <c r="D45" s="86">
        <f t="shared" ref="D45:N45" si="13">+D39-D44</f>
        <v>11.389726451758253</v>
      </c>
      <c r="E45" s="86">
        <f t="shared" si="13"/>
        <v>10.999438977894034</v>
      </c>
      <c r="F45" s="86">
        <f t="shared" si="13"/>
        <v>10.908904659686629</v>
      </c>
      <c r="G45" s="86">
        <f t="shared" si="13"/>
        <v>10.506112597277982</v>
      </c>
      <c r="H45" s="86">
        <f t="shared" si="13"/>
        <v>10.824365882507553</v>
      </c>
      <c r="I45" s="86">
        <f t="shared" si="13"/>
        <v>0</v>
      </c>
      <c r="J45" s="86">
        <f t="shared" si="13"/>
        <v>0</v>
      </c>
      <c r="K45" s="86">
        <f t="shared" si="13"/>
        <v>0</v>
      </c>
      <c r="L45" s="86">
        <f t="shared" si="13"/>
        <v>0</v>
      </c>
      <c r="M45" s="86">
        <f t="shared" si="13"/>
        <v>0</v>
      </c>
      <c r="N45" s="86">
        <f t="shared" si="13"/>
        <v>0</v>
      </c>
      <c r="O45" s="87">
        <f>SUM(C45:N45)/12</f>
        <v>5.4874354393341882</v>
      </c>
    </row>
    <row r="46" spans="1:22" ht="16.5" hidden="1" thickTop="1"/>
    <row r="47" spans="1:22" ht="16.5" hidden="1" thickTop="1">
      <c r="O47" t="s">
        <v>106</v>
      </c>
    </row>
    <row r="48" spans="1:22" ht="16.5" hidden="1" thickTop="1"/>
    <row r="49" spans="3:18" ht="16.5" hidden="1" thickTop="1">
      <c r="H49" t="s">
        <v>106</v>
      </c>
      <c r="N49">
        <v>22.827000000000002</v>
      </c>
      <c r="O49" t="s">
        <v>166</v>
      </c>
    </row>
    <row r="50" spans="3:18" ht="16.5" hidden="1" thickTop="1"/>
    <row r="51" spans="3:18" ht="16.5" hidden="1" thickTop="1"/>
    <row r="52" spans="3:18" ht="16.5" hidden="1" thickTop="1"/>
    <row r="53" spans="3:18" ht="16.5" hidden="1" thickTop="1">
      <c r="D53" s="14"/>
      <c r="E53" s="14"/>
      <c r="F53" s="14"/>
      <c r="G53" s="14"/>
      <c r="H53" s="14"/>
      <c r="I53" s="14"/>
      <c r="J53" s="14"/>
      <c r="K53" s="14"/>
      <c r="L53" s="52"/>
      <c r="M53" s="52"/>
      <c r="N53" s="52"/>
      <c r="O53" s="52"/>
      <c r="P53" s="52"/>
    </row>
    <row r="54" spans="3:18" ht="16.5" hidden="1" thickTop="1">
      <c r="C54" s="14">
        <v>17.800146120115254</v>
      </c>
      <c r="D54" s="14">
        <v>16.001109275356875</v>
      </c>
      <c r="E54" s="14">
        <v>14.70607952947627</v>
      </c>
      <c r="F54" s="14">
        <v>16.321037952132706</v>
      </c>
      <c r="G54" s="14">
        <v>18.21852023000493</v>
      </c>
      <c r="H54" s="14">
        <v>17.897962938625312</v>
      </c>
      <c r="I54" s="14">
        <v>18.177687147506418</v>
      </c>
      <c r="J54" s="14">
        <v>16.214628404111146</v>
      </c>
      <c r="K54" s="52">
        <f>AVERAGE(G54:I54)</f>
        <v>18.098056772045553</v>
      </c>
      <c r="L54" s="14">
        <v>18.2</v>
      </c>
      <c r="M54" s="14">
        <v>18.22</v>
      </c>
      <c r="N54" s="14">
        <v>18.18</v>
      </c>
      <c r="O54" s="52">
        <f>AVERAGE(C54:N54)</f>
        <v>17.336269030781203</v>
      </c>
    </row>
    <row r="55" spans="3:18" ht="16.5" hidden="1" thickTop="1"/>
    <row r="56" spans="3:18" ht="16.5" hidden="1" thickTop="1">
      <c r="C56" s="898"/>
      <c r="D56" s="898"/>
      <c r="R56" s="25"/>
    </row>
    <row r="57" spans="3:18" ht="16.5" hidden="1" thickTop="1">
      <c r="R57" s="14"/>
    </row>
    <row r="58" spans="3:18" ht="16.5" hidden="1" thickTop="1">
      <c r="R58" s="52"/>
    </row>
    <row r="59" spans="3:18" ht="16.5" thickTop="1"/>
    <row r="61" spans="3:18">
      <c r="R61" s="52"/>
    </row>
    <row r="62" spans="3:18">
      <c r="R62" s="52"/>
    </row>
    <row r="63" spans="3:18">
      <c r="R63" s="52"/>
    </row>
    <row r="65" spans="1:9">
      <c r="A65" s="2"/>
      <c r="B65" s="14"/>
      <c r="I65" s="88"/>
    </row>
    <row r="66" spans="1:9">
      <c r="I66" s="14"/>
    </row>
    <row r="67" spans="1:9">
      <c r="A67" s="2"/>
      <c r="B67" s="89"/>
      <c r="C67" s="14"/>
    </row>
    <row r="68" spans="1:9">
      <c r="B68" s="52"/>
      <c r="I68" s="22"/>
    </row>
    <row r="69" spans="1:9">
      <c r="B69" s="14"/>
    </row>
    <row r="70" spans="1:9">
      <c r="B70" s="89"/>
      <c r="C70" s="89"/>
    </row>
    <row r="71" spans="1:9">
      <c r="B71" s="52"/>
    </row>
  </sheetData>
  <mergeCells count="11">
    <mergeCell ref="A10:A15"/>
    <mergeCell ref="A1:O1"/>
    <mergeCell ref="A2:O2"/>
    <mergeCell ref="A4:O4"/>
    <mergeCell ref="A5:O5"/>
    <mergeCell ref="A8:B8"/>
    <mergeCell ref="A22:A27"/>
    <mergeCell ref="A30:A34"/>
    <mergeCell ref="A39:B39"/>
    <mergeCell ref="A43:B43"/>
    <mergeCell ref="C56:D5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A94A5-B512-4EC1-9855-BE5CD6CA8118}">
  <sheetPr codeName="Hoja12">
    <tabColor rgb="FF00B050"/>
  </sheetPr>
  <dimension ref="A1:R68"/>
  <sheetViews>
    <sheetView showGridLines="0" topLeftCell="D34" zoomScaleNormal="100" workbookViewId="0">
      <selection activeCell="H39" sqref="H39"/>
    </sheetView>
  </sheetViews>
  <sheetFormatPr baseColWidth="10" defaultColWidth="8.25" defaultRowHeight="15.75"/>
  <cols>
    <col min="1" max="1" width="12.75" customWidth="1"/>
    <col min="2" max="2" width="20.5" customWidth="1"/>
    <col min="3" max="3" width="13" customWidth="1"/>
    <col min="4" max="4" width="13.625" customWidth="1"/>
    <col min="5" max="5" width="14" customWidth="1"/>
    <col min="6" max="6" width="13.625" customWidth="1"/>
    <col min="7" max="7" width="15.75" customWidth="1"/>
    <col min="8" max="8" width="13.875" customWidth="1"/>
    <col min="9" max="9" width="13.625" customWidth="1"/>
    <col min="10" max="10" width="15.5" customWidth="1"/>
    <col min="11" max="11" width="14.75" customWidth="1"/>
    <col min="12" max="12" width="14.625" bestFit="1" customWidth="1"/>
    <col min="13" max="13" width="15.625" bestFit="1" customWidth="1"/>
    <col min="14" max="14" width="14" bestFit="1" customWidth="1"/>
    <col min="15" max="15" width="13.625" customWidth="1"/>
    <col min="16" max="16" width="14.625" bestFit="1" customWidth="1"/>
    <col min="17" max="17" width="24.125" customWidth="1"/>
    <col min="257" max="257" width="12.75" customWidth="1"/>
    <col min="258" max="258" width="20.5" customWidth="1"/>
    <col min="259" max="259" width="13" customWidth="1"/>
    <col min="260" max="260" width="13.625" customWidth="1"/>
    <col min="261" max="261" width="14" customWidth="1"/>
    <col min="262" max="262" width="13.625" customWidth="1"/>
    <col min="263" max="263" width="13" customWidth="1"/>
    <col min="264" max="264" width="13.875" customWidth="1"/>
    <col min="265" max="265" width="13.625" customWidth="1"/>
    <col min="266" max="266" width="13.25" customWidth="1"/>
    <col min="267" max="267" width="14.75" customWidth="1"/>
    <col min="268" max="268" width="13.625" customWidth="1"/>
    <col min="269" max="269" width="13" customWidth="1"/>
    <col min="270" max="270" width="14" bestFit="1" customWidth="1"/>
    <col min="271" max="271" width="13.625" customWidth="1"/>
    <col min="272" max="272" width="11.875" customWidth="1"/>
    <col min="273" max="273" width="24.125" customWidth="1"/>
    <col min="513" max="513" width="12.75" customWidth="1"/>
    <col min="514" max="514" width="20.5" customWidth="1"/>
    <col min="515" max="515" width="13" customWidth="1"/>
    <col min="516" max="516" width="13.625" customWidth="1"/>
    <col min="517" max="517" width="14" customWidth="1"/>
    <col min="518" max="518" width="13.625" customWidth="1"/>
    <col min="519" max="519" width="13" customWidth="1"/>
    <col min="520" max="520" width="13.875" customWidth="1"/>
    <col min="521" max="521" width="13.625" customWidth="1"/>
    <col min="522" max="522" width="13.25" customWidth="1"/>
    <col min="523" max="523" width="14.75" customWidth="1"/>
    <col min="524" max="524" width="13.625" customWidth="1"/>
    <col min="525" max="525" width="13" customWidth="1"/>
    <col min="526" max="526" width="14" bestFit="1" customWidth="1"/>
    <col min="527" max="527" width="13.625" customWidth="1"/>
    <col min="528" max="528" width="11.875" customWidth="1"/>
    <col min="529" max="529" width="24.125" customWidth="1"/>
    <col min="769" max="769" width="12.75" customWidth="1"/>
    <col min="770" max="770" width="20.5" customWidth="1"/>
    <col min="771" max="771" width="13" customWidth="1"/>
    <col min="772" max="772" width="13.625" customWidth="1"/>
    <col min="773" max="773" width="14" customWidth="1"/>
    <col min="774" max="774" width="13.625" customWidth="1"/>
    <col min="775" max="775" width="13" customWidth="1"/>
    <col min="776" max="776" width="13.875" customWidth="1"/>
    <col min="777" max="777" width="13.625" customWidth="1"/>
    <col min="778" max="778" width="13.25" customWidth="1"/>
    <col min="779" max="779" width="14.75" customWidth="1"/>
    <col min="780" max="780" width="13.625" customWidth="1"/>
    <col min="781" max="781" width="13" customWidth="1"/>
    <col min="782" max="782" width="14" bestFit="1" customWidth="1"/>
    <col min="783" max="783" width="13.625" customWidth="1"/>
    <col min="784" max="784" width="11.875" customWidth="1"/>
    <col min="785" max="785" width="24.125" customWidth="1"/>
    <col min="1025" max="1025" width="12.75" customWidth="1"/>
    <col min="1026" max="1026" width="20.5" customWidth="1"/>
    <col min="1027" max="1027" width="13" customWidth="1"/>
    <col min="1028" max="1028" width="13.625" customWidth="1"/>
    <col min="1029" max="1029" width="14" customWidth="1"/>
    <col min="1030" max="1030" width="13.625" customWidth="1"/>
    <col min="1031" max="1031" width="13" customWidth="1"/>
    <col min="1032" max="1032" width="13.875" customWidth="1"/>
    <col min="1033" max="1033" width="13.625" customWidth="1"/>
    <col min="1034" max="1034" width="13.25" customWidth="1"/>
    <col min="1035" max="1035" width="14.75" customWidth="1"/>
    <col min="1036" max="1036" width="13.625" customWidth="1"/>
    <col min="1037" max="1037" width="13" customWidth="1"/>
    <col min="1038" max="1038" width="14" bestFit="1" customWidth="1"/>
    <col min="1039" max="1039" width="13.625" customWidth="1"/>
    <col min="1040" max="1040" width="11.875" customWidth="1"/>
    <col min="1041" max="1041" width="24.125" customWidth="1"/>
    <col min="1281" max="1281" width="12.75" customWidth="1"/>
    <col min="1282" max="1282" width="20.5" customWidth="1"/>
    <col min="1283" max="1283" width="13" customWidth="1"/>
    <col min="1284" max="1284" width="13.625" customWidth="1"/>
    <col min="1285" max="1285" width="14" customWidth="1"/>
    <col min="1286" max="1286" width="13.625" customWidth="1"/>
    <col min="1287" max="1287" width="13" customWidth="1"/>
    <col min="1288" max="1288" width="13.875" customWidth="1"/>
    <col min="1289" max="1289" width="13.625" customWidth="1"/>
    <col min="1290" max="1290" width="13.25" customWidth="1"/>
    <col min="1291" max="1291" width="14.75" customWidth="1"/>
    <col min="1292" max="1292" width="13.625" customWidth="1"/>
    <col min="1293" max="1293" width="13" customWidth="1"/>
    <col min="1294" max="1294" width="14" bestFit="1" customWidth="1"/>
    <col min="1295" max="1295" width="13.625" customWidth="1"/>
    <col min="1296" max="1296" width="11.875" customWidth="1"/>
    <col min="1297" max="1297" width="24.125" customWidth="1"/>
    <col min="1537" max="1537" width="12.75" customWidth="1"/>
    <col min="1538" max="1538" width="20.5" customWidth="1"/>
    <col min="1539" max="1539" width="13" customWidth="1"/>
    <col min="1540" max="1540" width="13.625" customWidth="1"/>
    <col min="1541" max="1541" width="14" customWidth="1"/>
    <col min="1542" max="1542" width="13.625" customWidth="1"/>
    <col min="1543" max="1543" width="13" customWidth="1"/>
    <col min="1544" max="1544" width="13.875" customWidth="1"/>
    <col min="1545" max="1545" width="13.625" customWidth="1"/>
    <col min="1546" max="1546" width="13.25" customWidth="1"/>
    <col min="1547" max="1547" width="14.75" customWidth="1"/>
    <col min="1548" max="1548" width="13.625" customWidth="1"/>
    <col min="1549" max="1549" width="13" customWidth="1"/>
    <col min="1550" max="1550" width="14" bestFit="1" customWidth="1"/>
    <col min="1551" max="1551" width="13.625" customWidth="1"/>
    <col min="1552" max="1552" width="11.875" customWidth="1"/>
    <col min="1553" max="1553" width="24.125" customWidth="1"/>
    <col min="1793" max="1793" width="12.75" customWidth="1"/>
    <col min="1794" max="1794" width="20.5" customWidth="1"/>
    <col min="1795" max="1795" width="13" customWidth="1"/>
    <col min="1796" max="1796" width="13.625" customWidth="1"/>
    <col min="1797" max="1797" width="14" customWidth="1"/>
    <col min="1798" max="1798" width="13.625" customWidth="1"/>
    <col min="1799" max="1799" width="13" customWidth="1"/>
    <col min="1800" max="1800" width="13.875" customWidth="1"/>
    <col min="1801" max="1801" width="13.625" customWidth="1"/>
    <col min="1802" max="1802" width="13.25" customWidth="1"/>
    <col min="1803" max="1803" width="14.75" customWidth="1"/>
    <col min="1804" max="1804" width="13.625" customWidth="1"/>
    <col min="1805" max="1805" width="13" customWidth="1"/>
    <col min="1806" max="1806" width="14" bestFit="1" customWidth="1"/>
    <col min="1807" max="1807" width="13.625" customWidth="1"/>
    <col min="1808" max="1808" width="11.875" customWidth="1"/>
    <col min="1809" max="1809" width="24.125" customWidth="1"/>
    <col min="2049" max="2049" width="12.75" customWidth="1"/>
    <col min="2050" max="2050" width="20.5" customWidth="1"/>
    <col min="2051" max="2051" width="13" customWidth="1"/>
    <col min="2052" max="2052" width="13.625" customWidth="1"/>
    <col min="2053" max="2053" width="14" customWidth="1"/>
    <col min="2054" max="2054" width="13.625" customWidth="1"/>
    <col min="2055" max="2055" width="13" customWidth="1"/>
    <col min="2056" max="2056" width="13.875" customWidth="1"/>
    <col min="2057" max="2057" width="13.625" customWidth="1"/>
    <col min="2058" max="2058" width="13.25" customWidth="1"/>
    <col min="2059" max="2059" width="14.75" customWidth="1"/>
    <col min="2060" max="2060" width="13.625" customWidth="1"/>
    <col min="2061" max="2061" width="13" customWidth="1"/>
    <col min="2062" max="2062" width="14" bestFit="1" customWidth="1"/>
    <col min="2063" max="2063" width="13.625" customWidth="1"/>
    <col min="2064" max="2064" width="11.875" customWidth="1"/>
    <col min="2065" max="2065" width="24.125" customWidth="1"/>
    <col min="2305" max="2305" width="12.75" customWidth="1"/>
    <col min="2306" max="2306" width="20.5" customWidth="1"/>
    <col min="2307" max="2307" width="13" customWidth="1"/>
    <col min="2308" max="2308" width="13.625" customWidth="1"/>
    <col min="2309" max="2309" width="14" customWidth="1"/>
    <col min="2310" max="2310" width="13.625" customWidth="1"/>
    <col min="2311" max="2311" width="13" customWidth="1"/>
    <col min="2312" max="2312" width="13.875" customWidth="1"/>
    <col min="2313" max="2313" width="13.625" customWidth="1"/>
    <col min="2314" max="2314" width="13.25" customWidth="1"/>
    <col min="2315" max="2315" width="14.75" customWidth="1"/>
    <col min="2316" max="2316" width="13.625" customWidth="1"/>
    <col min="2317" max="2317" width="13" customWidth="1"/>
    <col min="2318" max="2318" width="14" bestFit="1" customWidth="1"/>
    <col min="2319" max="2319" width="13.625" customWidth="1"/>
    <col min="2320" max="2320" width="11.875" customWidth="1"/>
    <col min="2321" max="2321" width="24.125" customWidth="1"/>
    <col min="2561" max="2561" width="12.75" customWidth="1"/>
    <col min="2562" max="2562" width="20.5" customWidth="1"/>
    <col min="2563" max="2563" width="13" customWidth="1"/>
    <col min="2564" max="2564" width="13.625" customWidth="1"/>
    <col min="2565" max="2565" width="14" customWidth="1"/>
    <col min="2566" max="2566" width="13.625" customWidth="1"/>
    <col min="2567" max="2567" width="13" customWidth="1"/>
    <col min="2568" max="2568" width="13.875" customWidth="1"/>
    <col min="2569" max="2569" width="13.625" customWidth="1"/>
    <col min="2570" max="2570" width="13.25" customWidth="1"/>
    <col min="2571" max="2571" width="14.75" customWidth="1"/>
    <col min="2572" max="2572" width="13.625" customWidth="1"/>
    <col min="2573" max="2573" width="13" customWidth="1"/>
    <col min="2574" max="2574" width="14" bestFit="1" customWidth="1"/>
    <col min="2575" max="2575" width="13.625" customWidth="1"/>
    <col min="2576" max="2576" width="11.875" customWidth="1"/>
    <col min="2577" max="2577" width="24.125" customWidth="1"/>
    <col min="2817" max="2817" width="12.75" customWidth="1"/>
    <col min="2818" max="2818" width="20.5" customWidth="1"/>
    <col min="2819" max="2819" width="13" customWidth="1"/>
    <col min="2820" max="2820" width="13.625" customWidth="1"/>
    <col min="2821" max="2821" width="14" customWidth="1"/>
    <col min="2822" max="2822" width="13.625" customWidth="1"/>
    <col min="2823" max="2823" width="13" customWidth="1"/>
    <col min="2824" max="2824" width="13.875" customWidth="1"/>
    <col min="2825" max="2825" width="13.625" customWidth="1"/>
    <col min="2826" max="2826" width="13.25" customWidth="1"/>
    <col min="2827" max="2827" width="14.75" customWidth="1"/>
    <col min="2828" max="2828" width="13.625" customWidth="1"/>
    <col min="2829" max="2829" width="13" customWidth="1"/>
    <col min="2830" max="2830" width="14" bestFit="1" customWidth="1"/>
    <col min="2831" max="2831" width="13.625" customWidth="1"/>
    <col min="2832" max="2832" width="11.875" customWidth="1"/>
    <col min="2833" max="2833" width="24.125" customWidth="1"/>
    <col min="3073" max="3073" width="12.75" customWidth="1"/>
    <col min="3074" max="3074" width="20.5" customWidth="1"/>
    <col min="3075" max="3075" width="13" customWidth="1"/>
    <col min="3076" max="3076" width="13.625" customWidth="1"/>
    <col min="3077" max="3077" width="14" customWidth="1"/>
    <col min="3078" max="3078" width="13.625" customWidth="1"/>
    <col min="3079" max="3079" width="13" customWidth="1"/>
    <col min="3080" max="3080" width="13.875" customWidth="1"/>
    <col min="3081" max="3081" width="13.625" customWidth="1"/>
    <col min="3082" max="3082" width="13.25" customWidth="1"/>
    <col min="3083" max="3083" width="14.75" customWidth="1"/>
    <col min="3084" max="3084" width="13.625" customWidth="1"/>
    <col min="3085" max="3085" width="13" customWidth="1"/>
    <col min="3086" max="3086" width="14" bestFit="1" customWidth="1"/>
    <col min="3087" max="3087" width="13.625" customWidth="1"/>
    <col min="3088" max="3088" width="11.875" customWidth="1"/>
    <col min="3089" max="3089" width="24.125" customWidth="1"/>
    <col min="3329" max="3329" width="12.75" customWidth="1"/>
    <col min="3330" max="3330" width="20.5" customWidth="1"/>
    <col min="3331" max="3331" width="13" customWidth="1"/>
    <col min="3332" max="3332" width="13.625" customWidth="1"/>
    <col min="3333" max="3333" width="14" customWidth="1"/>
    <col min="3334" max="3334" width="13.625" customWidth="1"/>
    <col min="3335" max="3335" width="13" customWidth="1"/>
    <col min="3336" max="3336" width="13.875" customWidth="1"/>
    <col min="3337" max="3337" width="13.625" customWidth="1"/>
    <col min="3338" max="3338" width="13.25" customWidth="1"/>
    <col min="3339" max="3339" width="14.75" customWidth="1"/>
    <col min="3340" max="3340" width="13.625" customWidth="1"/>
    <col min="3341" max="3341" width="13" customWidth="1"/>
    <col min="3342" max="3342" width="14" bestFit="1" customWidth="1"/>
    <col min="3343" max="3343" width="13.625" customWidth="1"/>
    <col min="3344" max="3344" width="11.875" customWidth="1"/>
    <col min="3345" max="3345" width="24.125" customWidth="1"/>
    <col min="3585" max="3585" width="12.75" customWidth="1"/>
    <col min="3586" max="3586" width="20.5" customWidth="1"/>
    <col min="3587" max="3587" width="13" customWidth="1"/>
    <col min="3588" max="3588" width="13.625" customWidth="1"/>
    <col min="3589" max="3589" width="14" customWidth="1"/>
    <col min="3590" max="3590" width="13.625" customWidth="1"/>
    <col min="3591" max="3591" width="13" customWidth="1"/>
    <col min="3592" max="3592" width="13.875" customWidth="1"/>
    <col min="3593" max="3593" width="13.625" customWidth="1"/>
    <col min="3594" max="3594" width="13.25" customWidth="1"/>
    <col min="3595" max="3595" width="14.75" customWidth="1"/>
    <col min="3596" max="3596" width="13.625" customWidth="1"/>
    <col min="3597" max="3597" width="13" customWidth="1"/>
    <col min="3598" max="3598" width="14" bestFit="1" customWidth="1"/>
    <col min="3599" max="3599" width="13.625" customWidth="1"/>
    <col min="3600" max="3600" width="11.875" customWidth="1"/>
    <col min="3601" max="3601" width="24.125" customWidth="1"/>
    <col min="3841" max="3841" width="12.75" customWidth="1"/>
    <col min="3842" max="3842" width="20.5" customWidth="1"/>
    <col min="3843" max="3843" width="13" customWidth="1"/>
    <col min="3844" max="3844" width="13.625" customWidth="1"/>
    <col min="3845" max="3845" width="14" customWidth="1"/>
    <col min="3846" max="3846" width="13.625" customWidth="1"/>
    <col min="3847" max="3847" width="13" customWidth="1"/>
    <col min="3848" max="3848" width="13.875" customWidth="1"/>
    <col min="3849" max="3849" width="13.625" customWidth="1"/>
    <col min="3850" max="3850" width="13.25" customWidth="1"/>
    <col min="3851" max="3851" width="14.75" customWidth="1"/>
    <col min="3852" max="3852" width="13.625" customWidth="1"/>
    <col min="3853" max="3853" width="13" customWidth="1"/>
    <col min="3854" max="3854" width="14" bestFit="1" customWidth="1"/>
    <col min="3855" max="3855" width="13.625" customWidth="1"/>
    <col min="3856" max="3856" width="11.875" customWidth="1"/>
    <col min="3857" max="3857" width="24.125" customWidth="1"/>
    <col min="4097" max="4097" width="12.75" customWidth="1"/>
    <col min="4098" max="4098" width="20.5" customWidth="1"/>
    <col min="4099" max="4099" width="13" customWidth="1"/>
    <col min="4100" max="4100" width="13.625" customWidth="1"/>
    <col min="4101" max="4101" width="14" customWidth="1"/>
    <col min="4102" max="4102" width="13.625" customWidth="1"/>
    <col min="4103" max="4103" width="13" customWidth="1"/>
    <col min="4104" max="4104" width="13.875" customWidth="1"/>
    <col min="4105" max="4105" width="13.625" customWidth="1"/>
    <col min="4106" max="4106" width="13.25" customWidth="1"/>
    <col min="4107" max="4107" width="14.75" customWidth="1"/>
    <col min="4108" max="4108" width="13.625" customWidth="1"/>
    <col min="4109" max="4109" width="13" customWidth="1"/>
    <col min="4110" max="4110" width="14" bestFit="1" customWidth="1"/>
    <col min="4111" max="4111" width="13.625" customWidth="1"/>
    <col min="4112" max="4112" width="11.875" customWidth="1"/>
    <col min="4113" max="4113" width="24.125" customWidth="1"/>
    <col min="4353" max="4353" width="12.75" customWidth="1"/>
    <col min="4354" max="4354" width="20.5" customWidth="1"/>
    <col min="4355" max="4355" width="13" customWidth="1"/>
    <col min="4356" max="4356" width="13.625" customWidth="1"/>
    <col min="4357" max="4357" width="14" customWidth="1"/>
    <col min="4358" max="4358" width="13.625" customWidth="1"/>
    <col min="4359" max="4359" width="13" customWidth="1"/>
    <col min="4360" max="4360" width="13.875" customWidth="1"/>
    <col min="4361" max="4361" width="13.625" customWidth="1"/>
    <col min="4362" max="4362" width="13.25" customWidth="1"/>
    <col min="4363" max="4363" width="14.75" customWidth="1"/>
    <col min="4364" max="4364" width="13.625" customWidth="1"/>
    <col min="4365" max="4365" width="13" customWidth="1"/>
    <col min="4366" max="4366" width="14" bestFit="1" customWidth="1"/>
    <col min="4367" max="4367" width="13.625" customWidth="1"/>
    <col min="4368" max="4368" width="11.875" customWidth="1"/>
    <col min="4369" max="4369" width="24.125" customWidth="1"/>
    <col min="4609" max="4609" width="12.75" customWidth="1"/>
    <col min="4610" max="4610" width="20.5" customWidth="1"/>
    <col min="4611" max="4611" width="13" customWidth="1"/>
    <col min="4612" max="4612" width="13.625" customWidth="1"/>
    <col min="4613" max="4613" width="14" customWidth="1"/>
    <col min="4614" max="4614" width="13.625" customWidth="1"/>
    <col min="4615" max="4615" width="13" customWidth="1"/>
    <col min="4616" max="4616" width="13.875" customWidth="1"/>
    <col min="4617" max="4617" width="13.625" customWidth="1"/>
    <col min="4618" max="4618" width="13.25" customWidth="1"/>
    <col min="4619" max="4619" width="14.75" customWidth="1"/>
    <col min="4620" max="4620" width="13.625" customWidth="1"/>
    <col min="4621" max="4621" width="13" customWidth="1"/>
    <col min="4622" max="4622" width="14" bestFit="1" customWidth="1"/>
    <col min="4623" max="4623" width="13.625" customWidth="1"/>
    <col min="4624" max="4624" width="11.875" customWidth="1"/>
    <col min="4625" max="4625" width="24.125" customWidth="1"/>
    <col min="4865" max="4865" width="12.75" customWidth="1"/>
    <col min="4866" max="4866" width="20.5" customWidth="1"/>
    <col min="4867" max="4867" width="13" customWidth="1"/>
    <col min="4868" max="4868" width="13.625" customWidth="1"/>
    <col min="4869" max="4869" width="14" customWidth="1"/>
    <col min="4870" max="4870" width="13.625" customWidth="1"/>
    <col min="4871" max="4871" width="13" customWidth="1"/>
    <col min="4872" max="4872" width="13.875" customWidth="1"/>
    <col min="4873" max="4873" width="13.625" customWidth="1"/>
    <col min="4874" max="4874" width="13.25" customWidth="1"/>
    <col min="4875" max="4875" width="14.75" customWidth="1"/>
    <col min="4876" max="4876" width="13.625" customWidth="1"/>
    <col min="4877" max="4877" width="13" customWidth="1"/>
    <col min="4878" max="4878" width="14" bestFit="1" customWidth="1"/>
    <col min="4879" max="4879" width="13.625" customWidth="1"/>
    <col min="4880" max="4880" width="11.875" customWidth="1"/>
    <col min="4881" max="4881" width="24.125" customWidth="1"/>
    <col min="5121" max="5121" width="12.75" customWidth="1"/>
    <col min="5122" max="5122" width="20.5" customWidth="1"/>
    <col min="5123" max="5123" width="13" customWidth="1"/>
    <col min="5124" max="5124" width="13.625" customWidth="1"/>
    <col min="5125" max="5125" width="14" customWidth="1"/>
    <col min="5126" max="5126" width="13.625" customWidth="1"/>
    <col min="5127" max="5127" width="13" customWidth="1"/>
    <col min="5128" max="5128" width="13.875" customWidth="1"/>
    <col min="5129" max="5129" width="13.625" customWidth="1"/>
    <col min="5130" max="5130" width="13.25" customWidth="1"/>
    <col min="5131" max="5131" width="14.75" customWidth="1"/>
    <col min="5132" max="5132" width="13.625" customWidth="1"/>
    <col min="5133" max="5133" width="13" customWidth="1"/>
    <col min="5134" max="5134" width="14" bestFit="1" customWidth="1"/>
    <col min="5135" max="5135" width="13.625" customWidth="1"/>
    <col min="5136" max="5136" width="11.875" customWidth="1"/>
    <col min="5137" max="5137" width="24.125" customWidth="1"/>
    <col min="5377" max="5377" width="12.75" customWidth="1"/>
    <col min="5378" max="5378" width="20.5" customWidth="1"/>
    <col min="5379" max="5379" width="13" customWidth="1"/>
    <col min="5380" max="5380" width="13.625" customWidth="1"/>
    <col min="5381" max="5381" width="14" customWidth="1"/>
    <col min="5382" max="5382" width="13.625" customWidth="1"/>
    <col min="5383" max="5383" width="13" customWidth="1"/>
    <col min="5384" max="5384" width="13.875" customWidth="1"/>
    <col min="5385" max="5385" width="13.625" customWidth="1"/>
    <col min="5386" max="5386" width="13.25" customWidth="1"/>
    <col min="5387" max="5387" width="14.75" customWidth="1"/>
    <col min="5388" max="5388" width="13.625" customWidth="1"/>
    <col min="5389" max="5389" width="13" customWidth="1"/>
    <col min="5390" max="5390" width="14" bestFit="1" customWidth="1"/>
    <col min="5391" max="5391" width="13.625" customWidth="1"/>
    <col min="5392" max="5392" width="11.875" customWidth="1"/>
    <col min="5393" max="5393" width="24.125" customWidth="1"/>
    <col min="5633" max="5633" width="12.75" customWidth="1"/>
    <col min="5634" max="5634" width="20.5" customWidth="1"/>
    <col min="5635" max="5635" width="13" customWidth="1"/>
    <col min="5636" max="5636" width="13.625" customWidth="1"/>
    <col min="5637" max="5637" width="14" customWidth="1"/>
    <col min="5638" max="5638" width="13.625" customWidth="1"/>
    <col min="5639" max="5639" width="13" customWidth="1"/>
    <col min="5640" max="5640" width="13.875" customWidth="1"/>
    <col min="5641" max="5641" width="13.625" customWidth="1"/>
    <col min="5642" max="5642" width="13.25" customWidth="1"/>
    <col min="5643" max="5643" width="14.75" customWidth="1"/>
    <col min="5644" max="5644" width="13.625" customWidth="1"/>
    <col min="5645" max="5645" width="13" customWidth="1"/>
    <col min="5646" max="5646" width="14" bestFit="1" customWidth="1"/>
    <col min="5647" max="5647" width="13.625" customWidth="1"/>
    <col min="5648" max="5648" width="11.875" customWidth="1"/>
    <col min="5649" max="5649" width="24.125" customWidth="1"/>
    <col min="5889" max="5889" width="12.75" customWidth="1"/>
    <col min="5890" max="5890" width="20.5" customWidth="1"/>
    <col min="5891" max="5891" width="13" customWidth="1"/>
    <col min="5892" max="5892" width="13.625" customWidth="1"/>
    <col min="5893" max="5893" width="14" customWidth="1"/>
    <col min="5894" max="5894" width="13.625" customWidth="1"/>
    <col min="5895" max="5895" width="13" customWidth="1"/>
    <col min="5896" max="5896" width="13.875" customWidth="1"/>
    <col min="5897" max="5897" width="13.625" customWidth="1"/>
    <col min="5898" max="5898" width="13.25" customWidth="1"/>
    <col min="5899" max="5899" width="14.75" customWidth="1"/>
    <col min="5900" max="5900" width="13.625" customWidth="1"/>
    <col min="5901" max="5901" width="13" customWidth="1"/>
    <col min="5902" max="5902" width="14" bestFit="1" customWidth="1"/>
    <col min="5903" max="5903" width="13.625" customWidth="1"/>
    <col min="5904" max="5904" width="11.875" customWidth="1"/>
    <col min="5905" max="5905" width="24.125" customWidth="1"/>
    <col min="6145" max="6145" width="12.75" customWidth="1"/>
    <col min="6146" max="6146" width="20.5" customWidth="1"/>
    <col min="6147" max="6147" width="13" customWidth="1"/>
    <col min="6148" max="6148" width="13.625" customWidth="1"/>
    <col min="6149" max="6149" width="14" customWidth="1"/>
    <col min="6150" max="6150" width="13.625" customWidth="1"/>
    <col min="6151" max="6151" width="13" customWidth="1"/>
    <col min="6152" max="6152" width="13.875" customWidth="1"/>
    <col min="6153" max="6153" width="13.625" customWidth="1"/>
    <col min="6154" max="6154" width="13.25" customWidth="1"/>
    <col min="6155" max="6155" width="14.75" customWidth="1"/>
    <col min="6156" max="6156" width="13.625" customWidth="1"/>
    <col min="6157" max="6157" width="13" customWidth="1"/>
    <col min="6158" max="6158" width="14" bestFit="1" customWidth="1"/>
    <col min="6159" max="6159" width="13.625" customWidth="1"/>
    <col min="6160" max="6160" width="11.875" customWidth="1"/>
    <col min="6161" max="6161" width="24.125" customWidth="1"/>
    <col min="6401" max="6401" width="12.75" customWidth="1"/>
    <col min="6402" max="6402" width="20.5" customWidth="1"/>
    <col min="6403" max="6403" width="13" customWidth="1"/>
    <col min="6404" max="6404" width="13.625" customWidth="1"/>
    <col min="6405" max="6405" width="14" customWidth="1"/>
    <col min="6406" max="6406" width="13.625" customWidth="1"/>
    <col min="6407" max="6407" width="13" customWidth="1"/>
    <col min="6408" max="6408" width="13.875" customWidth="1"/>
    <col min="6409" max="6409" width="13.625" customWidth="1"/>
    <col min="6410" max="6410" width="13.25" customWidth="1"/>
    <col min="6411" max="6411" width="14.75" customWidth="1"/>
    <col min="6412" max="6412" width="13.625" customWidth="1"/>
    <col min="6413" max="6413" width="13" customWidth="1"/>
    <col min="6414" max="6414" width="14" bestFit="1" customWidth="1"/>
    <col min="6415" max="6415" width="13.625" customWidth="1"/>
    <col min="6416" max="6416" width="11.875" customWidth="1"/>
    <col min="6417" max="6417" width="24.125" customWidth="1"/>
    <col min="6657" max="6657" width="12.75" customWidth="1"/>
    <col min="6658" max="6658" width="20.5" customWidth="1"/>
    <col min="6659" max="6659" width="13" customWidth="1"/>
    <col min="6660" max="6660" width="13.625" customWidth="1"/>
    <col min="6661" max="6661" width="14" customWidth="1"/>
    <col min="6662" max="6662" width="13.625" customWidth="1"/>
    <col min="6663" max="6663" width="13" customWidth="1"/>
    <col min="6664" max="6664" width="13.875" customWidth="1"/>
    <col min="6665" max="6665" width="13.625" customWidth="1"/>
    <col min="6666" max="6666" width="13.25" customWidth="1"/>
    <col min="6667" max="6667" width="14.75" customWidth="1"/>
    <col min="6668" max="6668" width="13.625" customWidth="1"/>
    <col min="6669" max="6669" width="13" customWidth="1"/>
    <col min="6670" max="6670" width="14" bestFit="1" customWidth="1"/>
    <col min="6671" max="6671" width="13.625" customWidth="1"/>
    <col min="6672" max="6672" width="11.875" customWidth="1"/>
    <col min="6673" max="6673" width="24.125" customWidth="1"/>
    <col min="6913" max="6913" width="12.75" customWidth="1"/>
    <col min="6914" max="6914" width="20.5" customWidth="1"/>
    <col min="6915" max="6915" width="13" customWidth="1"/>
    <col min="6916" max="6916" width="13.625" customWidth="1"/>
    <col min="6917" max="6917" width="14" customWidth="1"/>
    <col min="6918" max="6918" width="13.625" customWidth="1"/>
    <col min="6919" max="6919" width="13" customWidth="1"/>
    <col min="6920" max="6920" width="13.875" customWidth="1"/>
    <col min="6921" max="6921" width="13.625" customWidth="1"/>
    <col min="6922" max="6922" width="13.25" customWidth="1"/>
    <col min="6923" max="6923" width="14.75" customWidth="1"/>
    <col min="6924" max="6924" width="13.625" customWidth="1"/>
    <col min="6925" max="6925" width="13" customWidth="1"/>
    <col min="6926" max="6926" width="14" bestFit="1" customWidth="1"/>
    <col min="6927" max="6927" width="13.625" customWidth="1"/>
    <col min="6928" max="6928" width="11.875" customWidth="1"/>
    <col min="6929" max="6929" width="24.125" customWidth="1"/>
    <col min="7169" max="7169" width="12.75" customWidth="1"/>
    <col min="7170" max="7170" width="20.5" customWidth="1"/>
    <col min="7171" max="7171" width="13" customWidth="1"/>
    <col min="7172" max="7172" width="13.625" customWidth="1"/>
    <col min="7173" max="7173" width="14" customWidth="1"/>
    <col min="7174" max="7174" width="13.625" customWidth="1"/>
    <col min="7175" max="7175" width="13" customWidth="1"/>
    <col min="7176" max="7176" width="13.875" customWidth="1"/>
    <col min="7177" max="7177" width="13.625" customWidth="1"/>
    <col min="7178" max="7178" width="13.25" customWidth="1"/>
    <col min="7179" max="7179" width="14.75" customWidth="1"/>
    <col min="7180" max="7180" width="13.625" customWidth="1"/>
    <col min="7181" max="7181" width="13" customWidth="1"/>
    <col min="7182" max="7182" width="14" bestFit="1" customWidth="1"/>
    <col min="7183" max="7183" width="13.625" customWidth="1"/>
    <col min="7184" max="7184" width="11.875" customWidth="1"/>
    <col min="7185" max="7185" width="24.125" customWidth="1"/>
    <col min="7425" max="7425" width="12.75" customWidth="1"/>
    <col min="7426" max="7426" width="20.5" customWidth="1"/>
    <col min="7427" max="7427" width="13" customWidth="1"/>
    <col min="7428" max="7428" width="13.625" customWidth="1"/>
    <col min="7429" max="7429" width="14" customWidth="1"/>
    <col min="7430" max="7430" width="13.625" customWidth="1"/>
    <col min="7431" max="7431" width="13" customWidth="1"/>
    <col min="7432" max="7432" width="13.875" customWidth="1"/>
    <col min="7433" max="7433" width="13.625" customWidth="1"/>
    <col min="7434" max="7434" width="13.25" customWidth="1"/>
    <col min="7435" max="7435" width="14.75" customWidth="1"/>
    <col min="7436" max="7436" width="13.625" customWidth="1"/>
    <col min="7437" max="7437" width="13" customWidth="1"/>
    <col min="7438" max="7438" width="14" bestFit="1" customWidth="1"/>
    <col min="7439" max="7439" width="13.625" customWidth="1"/>
    <col min="7440" max="7440" width="11.875" customWidth="1"/>
    <col min="7441" max="7441" width="24.125" customWidth="1"/>
    <col min="7681" max="7681" width="12.75" customWidth="1"/>
    <col min="7682" max="7682" width="20.5" customWidth="1"/>
    <col min="7683" max="7683" width="13" customWidth="1"/>
    <col min="7684" max="7684" width="13.625" customWidth="1"/>
    <col min="7685" max="7685" width="14" customWidth="1"/>
    <col min="7686" max="7686" width="13.625" customWidth="1"/>
    <col min="7687" max="7687" width="13" customWidth="1"/>
    <col min="7688" max="7688" width="13.875" customWidth="1"/>
    <col min="7689" max="7689" width="13.625" customWidth="1"/>
    <col min="7690" max="7690" width="13.25" customWidth="1"/>
    <col min="7691" max="7691" width="14.75" customWidth="1"/>
    <col min="7692" max="7692" width="13.625" customWidth="1"/>
    <col min="7693" max="7693" width="13" customWidth="1"/>
    <col min="7694" max="7694" width="14" bestFit="1" customWidth="1"/>
    <col min="7695" max="7695" width="13.625" customWidth="1"/>
    <col min="7696" max="7696" width="11.875" customWidth="1"/>
    <col min="7697" max="7697" width="24.125" customWidth="1"/>
    <col min="7937" max="7937" width="12.75" customWidth="1"/>
    <col min="7938" max="7938" width="20.5" customWidth="1"/>
    <col min="7939" max="7939" width="13" customWidth="1"/>
    <col min="7940" max="7940" width="13.625" customWidth="1"/>
    <col min="7941" max="7941" width="14" customWidth="1"/>
    <col min="7942" max="7942" width="13.625" customWidth="1"/>
    <col min="7943" max="7943" width="13" customWidth="1"/>
    <col min="7944" max="7944" width="13.875" customWidth="1"/>
    <col min="7945" max="7945" width="13.625" customWidth="1"/>
    <col min="7946" max="7946" width="13.25" customWidth="1"/>
    <col min="7947" max="7947" width="14.75" customWidth="1"/>
    <col min="7948" max="7948" width="13.625" customWidth="1"/>
    <col min="7949" max="7949" width="13" customWidth="1"/>
    <col min="7950" max="7950" width="14" bestFit="1" customWidth="1"/>
    <col min="7951" max="7951" width="13.625" customWidth="1"/>
    <col min="7952" max="7952" width="11.875" customWidth="1"/>
    <col min="7953" max="7953" width="24.125" customWidth="1"/>
    <col min="8193" max="8193" width="12.75" customWidth="1"/>
    <col min="8194" max="8194" width="20.5" customWidth="1"/>
    <col min="8195" max="8195" width="13" customWidth="1"/>
    <col min="8196" max="8196" width="13.625" customWidth="1"/>
    <col min="8197" max="8197" width="14" customWidth="1"/>
    <col min="8198" max="8198" width="13.625" customWidth="1"/>
    <col min="8199" max="8199" width="13" customWidth="1"/>
    <col min="8200" max="8200" width="13.875" customWidth="1"/>
    <col min="8201" max="8201" width="13.625" customWidth="1"/>
    <col min="8202" max="8202" width="13.25" customWidth="1"/>
    <col min="8203" max="8203" width="14.75" customWidth="1"/>
    <col min="8204" max="8204" width="13.625" customWidth="1"/>
    <col min="8205" max="8205" width="13" customWidth="1"/>
    <col min="8206" max="8206" width="14" bestFit="1" customWidth="1"/>
    <col min="8207" max="8207" width="13.625" customWidth="1"/>
    <col min="8208" max="8208" width="11.875" customWidth="1"/>
    <col min="8209" max="8209" width="24.125" customWidth="1"/>
    <col min="8449" max="8449" width="12.75" customWidth="1"/>
    <col min="8450" max="8450" width="20.5" customWidth="1"/>
    <col min="8451" max="8451" width="13" customWidth="1"/>
    <col min="8452" max="8452" width="13.625" customWidth="1"/>
    <col min="8453" max="8453" width="14" customWidth="1"/>
    <col min="8454" max="8454" width="13.625" customWidth="1"/>
    <col min="8455" max="8455" width="13" customWidth="1"/>
    <col min="8456" max="8456" width="13.875" customWidth="1"/>
    <col min="8457" max="8457" width="13.625" customWidth="1"/>
    <col min="8458" max="8458" width="13.25" customWidth="1"/>
    <col min="8459" max="8459" width="14.75" customWidth="1"/>
    <col min="8460" max="8460" width="13.625" customWidth="1"/>
    <col min="8461" max="8461" width="13" customWidth="1"/>
    <col min="8462" max="8462" width="14" bestFit="1" customWidth="1"/>
    <col min="8463" max="8463" width="13.625" customWidth="1"/>
    <col min="8464" max="8464" width="11.875" customWidth="1"/>
    <col min="8465" max="8465" width="24.125" customWidth="1"/>
    <col min="8705" max="8705" width="12.75" customWidth="1"/>
    <col min="8706" max="8706" width="20.5" customWidth="1"/>
    <col min="8707" max="8707" width="13" customWidth="1"/>
    <col min="8708" max="8708" width="13.625" customWidth="1"/>
    <col min="8709" max="8709" width="14" customWidth="1"/>
    <col min="8710" max="8710" width="13.625" customWidth="1"/>
    <col min="8711" max="8711" width="13" customWidth="1"/>
    <col min="8712" max="8712" width="13.875" customWidth="1"/>
    <col min="8713" max="8713" width="13.625" customWidth="1"/>
    <col min="8714" max="8714" width="13.25" customWidth="1"/>
    <col min="8715" max="8715" width="14.75" customWidth="1"/>
    <col min="8716" max="8716" width="13.625" customWidth="1"/>
    <col min="8717" max="8717" width="13" customWidth="1"/>
    <col min="8718" max="8718" width="14" bestFit="1" customWidth="1"/>
    <col min="8719" max="8719" width="13.625" customWidth="1"/>
    <col min="8720" max="8720" width="11.875" customWidth="1"/>
    <col min="8721" max="8721" width="24.125" customWidth="1"/>
    <col min="8961" max="8961" width="12.75" customWidth="1"/>
    <col min="8962" max="8962" width="20.5" customWidth="1"/>
    <col min="8963" max="8963" width="13" customWidth="1"/>
    <col min="8964" max="8964" width="13.625" customWidth="1"/>
    <col min="8965" max="8965" width="14" customWidth="1"/>
    <col min="8966" max="8966" width="13.625" customWidth="1"/>
    <col min="8967" max="8967" width="13" customWidth="1"/>
    <col min="8968" max="8968" width="13.875" customWidth="1"/>
    <col min="8969" max="8969" width="13.625" customWidth="1"/>
    <col min="8970" max="8970" width="13.25" customWidth="1"/>
    <col min="8971" max="8971" width="14.75" customWidth="1"/>
    <col min="8972" max="8972" width="13.625" customWidth="1"/>
    <col min="8973" max="8973" width="13" customWidth="1"/>
    <col min="8974" max="8974" width="14" bestFit="1" customWidth="1"/>
    <col min="8975" max="8975" width="13.625" customWidth="1"/>
    <col min="8976" max="8976" width="11.875" customWidth="1"/>
    <col min="8977" max="8977" width="24.125" customWidth="1"/>
    <col min="9217" max="9217" width="12.75" customWidth="1"/>
    <col min="9218" max="9218" width="20.5" customWidth="1"/>
    <col min="9219" max="9219" width="13" customWidth="1"/>
    <col min="9220" max="9220" width="13.625" customWidth="1"/>
    <col min="9221" max="9221" width="14" customWidth="1"/>
    <col min="9222" max="9222" width="13.625" customWidth="1"/>
    <col min="9223" max="9223" width="13" customWidth="1"/>
    <col min="9224" max="9224" width="13.875" customWidth="1"/>
    <col min="9225" max="9225" width="13.625" customWidth="1"/>
    <col min="9226" max="9226" width="13.25" customWidth="1"/>
    <col min="9227" max="9227" width="14.75" customWidth="1"/>
    <col min="9228" max="9228" width="13.625" customWidth="1"/>
    <col min="9229" max="9229" width="13" customWidth="1"/>
    <col min="9230" max="9230" width="14" bestFit="1" customWidth="1"/>
    <col min="9231" max="9231" width="13.625" customWidth="1"/>
    <col min="9232" max="9232" width="11.875" customWidth="1"/>
    <col min="9233" max="9233" width="24.125" customWidth="1"/>
    <col min="9473" max="9473" width="12.75" customWidth="1"/>
    <col min="9474" max="9474" width="20.5" customWidth="1"/>
    <col min="9475" max="9475" width="13" customWidth="1"/>
    <col min="9476" max="9476" width="13.625" customWidth="1"/>
    <col min="9477" max="9477" width="14" customWidth="1"/>
    <col min="9478" max="9478" width="13.625" customWidth="1"/>
    <col min="9479" max="9479" width="13" customWidth="1"/>
    <col min="9480" max="9480" width="13.875" customWidth="1"/>
    <col min="9481" max="9481" width="13.625" customWidth="1"/>
    <col min="9482" max="9482" width="13.25" customWidth="1"/>
    <col min="9483" max="9483" width="14.75" customWidth="1"/>
    <col min="9484" max="9484" width="13.625" customWidth="1"/>
    <col min="9485" max="9485" width="13" customWidth="1"/>
    <col min="9486" max="9486" width="14" bestFit="1" customWidth="1"/>
    <col min="9487" max="9487" width="13.625" customWidth="1"/>
    <col min="9488" max="9488" width="11.875" customWidth="1"/>
    <col min="9489" max="9489" width="24.125" customWidth="1"/>
    <col min="9729" max="9729" width="12.75" customWidth="1"/>
    <col min="9730" max="9730" width="20.5" customWidth="1"/>
    <col min="9731" max="9731" width="13" customWidth="1"/>
    <col min="9732" max="9732" width="13.625" customWidth="1"/>
    <col min="9733" max="9733" width="14" customWidth="1"/>
    <col min="9734" max="9734" width="13.625" customWidth="1"/>
    <col min="9735" max="9735" width="13" customWidth="1"/>
    <col min="9736" max="9736" width="13.875" customWidth="1"/>
    <col min="9737" max="9737" width="13.625" customWidth="1"/>
    <col min="9738" max="9738" width="13.25" customWidth="1"/>
    <col min="9739" max="9739" width="14.75" customWidth="1"/>
    <col min="9740" max="9740" width="13.625" customWidth="1"/>
    <col min="9741" max="9741" width="13" customWidth="1"/>
    <col min="9742" max="9742" width="14" bestFit="1" customWidth="1"/>
    <col min="9743" max="9743" width="13.625" customWidth="1"/>
    <col min="9744" max="9744" width="11.875" customWidth="1"/>
    <col min="9745" max="9745" width="24.125" customWidth="1"/>
    <col min="9985" max="9985" width="12.75" customWidth="1"/>
    <col min="9986" max="9986" width="20.5" customWidth="1"/>
    <col min="9987" max="9987" width="13" customWidth="1"/>
    <col min="9988" max="9988" width="13.625" customWidth="1"/>
    <col min="9989" max="9989" width="14" customWidth="1"/>
    <col min="9990" max="9990" width="13.625" customWidth="1"/>
    <col min="9991" max="9991" width="13" customWidth="1"/>
    <col min="9992" max="9992" width="13.875" customWidth="1"/>
    <col min="9993" max="9993" width="13.625" customWidth="1"/>
    <col min="9994" max="9994" width="13.25" customWidth="1"/>
    <col min="9995" max="9995" width="14.75" customWidth="1"/>
    <col min="9996" max="9996" width="13.625" customWidth="1"/>
    <col min="9997" max="9997" width="13" customWidth="1"/>
    <col min="9998" max="9998" width="14" bestFit="1" customWidth="1"/>
    <col min="9999" max="9999" width="13.625" customWidth="1"/>
    <col min="10000" max="10000" width="11.875" customWidth="1"/>
    <col min="10001" max="10001" width="24.125" customWidth="1"/>
    <col min="10241" max="10241" width="12.75" customWidth="1"/>
    <col min="10242" max="10242" width="20.5" customWidth="1"/>
    <col min="10243" max="10243" width="13" customWidth="1"/>
    <col min="10244" max="10244" width="13.625" customWidth="1"/>
    <col min="10245" max="10245" width="14" customWidth="1"/>
    <col min="10246" max="10246" width="13.625" customWidth="1"/>
    <col min="10247" max="10247" width="13" customWidth="1"/>
    <col min="10248" max="10248" width="13.875" customWidth="1"/>
    <col min="10249" max="10249" width="13.625" customWidth="1"/>
    <col min="10250" max="10250" width="13.25" customWidth="1"/>
    <col min="10251" max="10251" width="14.75" customWidth="1"/>
    <col min="10252" max="10252" width="13.625" customWidth="1"/>
    <col min="10253" max="10253" width="13" customWidth="1"/>
    <col min="10254" max="10254" width="14" bestFit="1" customWidth="1"/>
    <col min="10255" max="10255" width="13.625" customWidth="1"/>
    <col min="10256" max="10256" width="11.875" customWidth="1"/>
    <col min="10257" max="10257" width="24.125" customWidth="1"/>
    <col min="10497" max="10497" width="12.75" customWidth="1"/>
    <col min="10498" max="10498" width="20.5" customWidth="1"/>
    <col min="10499" max="10499" width="13" customWidth="1"/>
    <col min="10500" max="10500" width="13.625" customWidth="1"/>
    <col min="10501" max="10501" width="14" customWidth="1"/>
    <col min="10502" max="10502" width="13.625" customWidth="1"/>
    <col min="10503" max="10503" width="13" customWidth="1"/>
    <col min="10504" max="10504" width="13.875" customWidth="1"/>
    <col min="10505" max="10505" width="13.625" customWidth="1"/>
    <col min="10506" max="10506" width="13.25" customWidth="1"/>
    <col min="10507" max="10507" width="14.75" customWidth="1"/>
    <col min="10508" max="10508" width="13.625" customWidth="1"/>
    <col min="10509" max="10509" width="13" customWidth="1"/>
    <col min="10510" max="10510" width="14" bestFit="1" customWidth="1"/>
    <col min="10511" max="10511" width="13.625" customWidth="1"/>
    <col min="10512" max="10512" width="11.875" customWidth="1"/>
    <col min="10513" max="10513" width="24.125" customWidth="1"/>
    <col min="10753" max="10753" width="12.75" customWidth="1"/>
    <col min="10754" max="10754" width="20.5" customWidth="1"/>
    <col min="10755" max="10755" width="13" customWidth="1"/>
    <col min="10756" max="10756" width="13.625" customWidth="1"/>
    <col min="10757" max="10757" width="14" customWidth="1"/>
    <col min="10758" max="10758" width="13.625" customWidth="1"/>
    <col min="10759" max="10759" width="13" customWidth="1"/>
    <col min="10760" max="10760" width="13.875" customWidth="1"/>
    <col min="10761" max="10761" width="13.625" customWidth="1"/>
    <col min="10762" max="10762" width="13.25" customWidth="1"/>
    <col min="10763" max="10763" width="14.75" customWidth="1"/>
    <col min="10764" max="10764" width="13.625" customWidth="1"/>
    <col min="10765" max="10765" width="13" customWidth="1"/>
    <col min="10766" max="10766" width="14" bestFit="1" customWidth="1"/>
    <col min="10767" max="10767" width="13.625" customWidth="1"/>
    <col min="10768" max="10768" width="11.875" customWidth="1"/>
    <col min="10769" max="10769" width="24.125" customWidth="1"/>
    <col min="11009" max="11009" width="12.75" customWidth="1"/>
    <col min="11010" max="11010" width="20.5" customWidth="1"/>
    <col min="11011" max="11011" width="13" customWidth="1"/>
    <col min="11012" max="11012" width="13.625" customWidth="1"/>
    <col min="11013" max="11013" width="14" customWidth="1"/>
    <col min="11014" max="11014" width="13.625" customWidth="1"/>
    <col min="11015" max="11015" width="13" customWidth="1"/>
    <col min="11016" max="11016" width="13.875" customWidth="1"/>
    <col min="11017" max="11017" width="13.625" customWidth="1"/>
    <col min="11018" max="11018" width="13.25" customWidth="1"/>
    <col min="11019" max="11019" width="14.75" customWidth="1"/>
    <col min="11020" max="11020" width="13.625" customWidth="1"/>
    <col min="11021" max="11021" width="13" customWidth="1"/>
    <col min="11022" max="11022" width="14" bestFit="1" customWidth="1"/>
    <col min="11023" max="11023" width="13.625" customWidth="1"/>
    <col min="11024" max="11024" width="11.875" customWidth="1"/>
    <col min="11025" max="11025" width="24.125" customWidth="1"/>
    <col min="11265" max="11265" width="12.75" customWidth="1"/>
    <col min="11266" max="11266" width="20.5" customWidth="1"/>
    <col min="11267" max="11267" width="13" customWidth="1"/>
    <col min="11268" max="11268" width="13.625" customWidth="1"/>
    <col min="11269" max="11269" width="14" customWidth="1"/>
    <col min="11270" max="11270" width="13.625" customWidth="1"/>
    <col min="11271" max="11271" width="13" customWidth="1"/>
    <col min="11272" max="11272" width="13.875" customWidth="1"/>
    <col min="11273" max="11273" width="13.625" customWidth="1"/>
    <col min="11274" max="11274" width="13.25" customWidth="1"/>
    <col min="11275" max="11275" width="14.75" customWidth="1"/>
    <col min="11276" max="11276" width="13.625" customWidth="1"/>
    <col min="11277" max="11277" width="13" customWidth="1"/>
    <col min="11278" max="11278" width="14" bestFit="1" customWidth="1"/>
    <col min="11279" max="11279" width="13.625" customWidth="1"/>
    <col min="11280" max="11280" width="11.875" customWidth="1"/>
    <col min="11281" max="11281" width="24.125" customWidth="1"/>
    <col min="11521" max="11521" width="12.75" customWidth="1"/>
    <col min="11522" max="11522" width="20.5" customWidth="1"/>
    <col min="11523" max="11523" width="13" customWidth="1"/>
    <col min="11524" max="11524" width="13.625" customWidth="1"/>
    <col min="11525" max="11525" width="14" customWidth="1"/>
    <col min="11526" max="11526" width="13.625" customWidth="1"/>
    <col min="11527" max="11527" width="13" customWidth="1"/>
    <col min="11528" max="11528" width="13.875" customWidth="1"/>
    <col min="11529" max="11529" width="13.625" customWidth="1"/>
    <col min="11530" max="11530" width="13.25" customWidth="1"/>
    <col min="11531" max="11531" width="14.75" customWidth="1"/>
    <col min="11532" max="11532" width="13.625" customWidth="1"/>
    <col min="11533" max="11533" width="13" customWidth="1"/>
    <col min="11534" max="11534" width="14" bestFit="1" customWidth="1"/>
    <col min="11535" max="11535" width="13.625" customWidth="1"/>
    <col min="11536" max="11536" width="11.875" customWidth="1"/>
    <col min="11537" max="11537" width="24.125" customWidth="1"/>
    <col min="11777" max="11777" width="12.75" customWidth="1"/>
    <col min="11778" max="11778" width="20.5" customWidth="1"/>
    <col min="11779" max="11779" width="13" customWidth="1"/>
    <col min="11780" max="11780" width="13.625" customWidth="1"/>
    <col min="11781" max="11781" width="14" customWidth="1"/>
    <col min="11782" max="11782" width="13.625" customWidth="1"/>
    <col min="11783" max="11783" width="13" customWidth="1"/>
    <col min="11784" max="11784" width="13.875" customWidth="1"/>
    <col min="11785" max="11785" width="13.625" customWidth="1"/>
    <col min="11786" max="11786" width="13.25" customWidth="1"/>
    <col min="11787" max="11787" width="14.75" customWidth="1"/>
    <col min="11788" max="11788" width="13.625" customWidth="1"/>
    <col min="11789" max="11789" width="13" customWidth="1"/>
    <col min="11790" max="11790" width="14" bestFit="1" customWidth="1"/>
    <col min="11791" max="11791" width="13.625" customWidth="1"/>
    <col min="11792" max="11792" width="11.875" customWidth="1"/>
    <col min="11793" max="11793" width="24.125" customWidth="1"/>
    <col min="12033" max="12033" width="12.75" customWidth="1"/>
    <col min="12034" max="12034" width="20.5" customWidth="1"/>
    <col min="12035" max="12035" width="13" customWidth="1"/>
    <col min="12036" max="12036" width="13.625" customWidth="1"/>
    <col min="12037" max="12037" width="14" customWidth="1"/>
    <col min="12038" max="12038" width="13.625" customWidth="1"/>
    <col min="12039" max="12039" width="13" customWidth="1"/>
    <col min="12040" max="12040" width="13.875" customWidth="1"/>
    <col min="12041" max="12041" width="13.625" customWidth="1"/>
    <col min="12042" max="12042" width="13.25" customWidth="1"/>
    <col min="12043" max="12043" width="14.75" customWidth="1"/>
    <col min="12044" max="12044" width="13.625" customWidth="1"/>
    <col min="12045" max="12045" width="13" customWidth="1"/>
    <col min="12046" max="12046" width="14" bestFit="1" customWidth="1"/>
    <col min="12047" max="12047" width="13.625" customWidth="1"/>
    <col min="12048" max="12048" width="11.875" customWidth="1"/>
    <col min="12049" max="12049" width="24.125" customWidth="1"/>
    <col min="12289" max="12289" width="12.75" customWidth="1"/>
    <col min="12290" max="12290" width="20.5" customWidth="1"/>
    <col min="12291" max="12291" width="13" customWidth="1"/>
    <col min="12292" max="12292" width="13.625" customWidth="1"/>
    <col min="12293" max="12293" width="14" customWidth="1"/>
    <col min="12294" max="12294" width="13.625" customWidth="1"/>
    <col min="12295" max="12295" width="13" customWidth="1"/>
    <col min="12296" max="12296" width="13.875" customWidth="1"/>
    <col min="12297" max="12297" width="13.625" customWidth="1"/>
    <col min="12298" max="12298" width="13.25" customWidth="1"/>
    <col min="12299" max="12299" width="14.75" customWidth="1"/>
    <col min="12300" max="12300" width="13.625" customWidth="1"/>
    <col min="12301" max="12301" width="13" customWidth="1"/>
    <col min="12302" max="12302" width="14" bestFit="1" customWidth="1"/>
    <col min="12303" max="12303" width="13.625" customWidth="1"/>
    <col min="12304" max="12304" width="11.875" customWidth="1"/>
    <col min="12305" max="12305" width="24.125" customWidth="1"/>
    <col min="12545" max="12545" width="12.75" customWidth="1"/>
    <col min="12546" max="12546" width="20.5" customWidth="1"/>
    <col min="12547" max="12547" width="13" customWidth="1"/>
    <col min="12548" max="12548" width="13.625" customWidth="1"/>
    <col min="12549" max="12549" width="14" customWidth="1"/>
    <col min="12550" max="12550" width="13.625" customWidth="1"/>
    <col min="12551" max="12551" width="13" customWidth="1"/>
    <col min="12552" max="12552" width="13.875" customWidth="1"/>
    <col min="12553" max="12553" width="13.625" customWidth="1"/>
    <col min="12554" max="12554" width="13.25" customWidth="1"/>
    <col min="12555" max="12555" width="14.75" customWidth="1"/>
    <col min="12556" max="12556" width="13.625" customWidth="1"/>
    <col min="12557" max="12557" width="13" customWidth="1"/>
    <col min="12558" max="12558" width="14" bestFit="1" customWidth="1"/>
    <col min="12559" max="12559" width="13.625" customWidth="1"/>
    <col min="12560" max="12560" width="11.875" customWidth="1"/>
    <col min="12561" max="12561" width="24.125" customWidth="1"/>
    <col min="12801" max="12801" width="12.75" customWidth="1"/>
    <col min="12802" max="12802" width="20.5" customWidth="1"/>
    <col min="12803" max="12803" width="13" customWidth="1"/>
    <col min="12804" max="12804" width="13.625" customWidth="1"/>
    <col min="12805" max="12805" width="14" customWidth="1"/>
    <col min="12806" max="12806" width="13.625" customWidth="1"/>
    <col min="12807" max="12807" width="13" customWidth="1"/>
    <col min="12808" max="12808" width="13.875" customWidth="1"/>
    <col min="12809" max="12809" width="13.625" customWidth="1"/>
    <col min="12810" max="12810" width="13.25" customWidth="1"/>
    <col min="12811" max="12811" width="14.75" customWidth="1"/>
    <col min="12812" max="12812" width="13.625" customWidth="1"/>
    <col min="12813" max="12813" width="13" customWidth="1"/>
    <col min="12814" max="12814" width="14" bestFit="1" customWidth="1"/>
    <col min="12815" max="12815" width="13.625" customWidth="1"/>
    <col min="12816" max="12816" width="11.875" customWidth="1"/>
    <col min="12817" max="12817" width="24.125" customWidth="1"/>
    <col min="13057" max="13057" width="12.75" customWidth="1"/>
    <col min="13058" max="13058" width="20.5" customWidth="1"/>
    <col min="13059" max="13059" width="13" customWidth="1"/>
    <col min="13060" max="13060" width="13.625" customWidth="1"/>
    <col min="13061" max="13061" width="14" customWidth="1"/>
    <col min="13062" max="13062" width="13.625" customWidth="1"/>
    <col min="13063" max="13063" width="13" customWidth="1"/>
    <col min="13064" max="13064" width="13.875" customWidth="1"/>
    <col min="13065" max="13065" width="13.625" customWidth="1"/>
    <col min="13066" max="13066" width="13.25" customWidth="1"/>
    <col min="13067" max="13067" width="14.75" customWidth="1"/>
    <col min="13068" max="13068" width="13.625" customWidth="1"/>
    <col min="13069" max="13069" width="13" customWidth="1"/>
    <col min="13070" max="13070" width="14" bestFit="1" customWidth="1"/>
    <col min="13071" max="13071" width="13.625" customWidth="1"/>
    <col min="13072" max="13072" width="11.875" customWidth="1"/>
    <col min="13073" max="13073" width="24.125" customWidth="1"/>
    <col min="13313" max="13313" width="12.75" customWidth="1"/>
    <col min="13314" max="13314" width="20.5" customWidth="1"/>
    <col min="13315" max="13315" width="13" customWidth="1"/>
    <col min="13316" max="13316" width="13.625" customWidth="1"/>
    <col min="13317" max="13317" width="14" customWidth="1"/>
    <col min="13318" max="13318" width="13.625" customWidth="1"/>
    <col min="13319" max="13319" width="13" customWidth="1"/>
    <col min="13320" max="13320" width="13.875" customWidth="1"/>
    <col min="13321" max="13321" width="13.625" customWidth="1"/>
    <col min="13322" max="13322" width="13.25" customWidth="1"/>
    <col min="13323" max="13323" width="14.75" customWidth="1"/>
    <col min="13324" max="13324" width="13.625" customWidth="1"/>
    <col min="13325" max="13325" width="13" customWidth="1"/>
    <col min="13326" max="13326" width="14" bestFit="1" customWidth="1"/>
    <col min="13327" max="13327" width="13.625" customWidth="1"/>
    <col min="13328" max="13328" width="11.875" customWidth="1"/>
    <col min="13329" max="13329" width="24.125" customWidth="1"/>
    <col min="13569" max="13569" width="12.75" customWidth="1"/>
    <col min="13570" max="13570" width="20.5" customWidth="1"/>
    <col min="13571" max="13571" width="13" customWidth="1"/>
    <col min="13572" max="13572" width="13.625" customWidth="1"/>
    <col min="13573" max="13573" width="14" customWidth="1"/>
    <col min="13574" max="13574" width="13.625" customWidth="1"/>
    <col min="13575" max="13575" width="13" customWidth="1"/>
    <col min="13576" max="13576" width="13.875" customWidth="1"/>
    <col min="13577" max="13577" width="13.625" customWidth="1"/>
    <col min="13578" max="13578" width="13.25" customWidth="1"/>
    <col min="13579" max="13579" width="14.75" customWidth="1"/>
    <col min="13580" max="13580" width="13.625" customWidth="1"/>
    <col min="13581" max="13581" width="13" customWidth="1"/>
    <col min="13582" max="13582" width="14" bestFit="1" customWidth="1"/>
    <col min="13583" max="13583" width="13.625" customWidth="1"/>
    <col min="13584" max="13584" width="11.875" customWidth="1"/>
    <col min="13585" max="13585" width="24.125" customWidth="1"/>
    <col min="13825" max="13825" width="12.75" customWidth="1"/>
    <col min="13826" max="13826" width="20.5" customWidth="1"/>
    <col min="13827" max="13827" width="13" customWidth="1"/>
    <col min="13828" max="13828" width="13.625" customWidth="1"/>
    <col min="13829" max="13829" width="14" customWidth="1"/>
    <col min="13830" max="13830" width="13.625" customWidth="1"/>
    <col min="13831" max="13831" width="13" customWidth="1"/>
    <col min="13832" max="13832" width="13.875" customWidth="1"/>
    <col min="13833" max="13833" width="13.625" customWidth="1"/>
    <col min="13834" max="13834" width="13.25" customWidth="1"/>
    <col min="13835" max="13835" width="14.75" customWidth="1"/>
    <col min="13836" max="13836" width="13.625" customWidth="1"/>
    <col min="13837" max="13837" width="13" customWidth="1"/>
    <col min="13838" max="13838" width="14" bestFit="1" customWidth="1"/>
    <col min="13839" max="13839" width="13.625" customWidth="1"/>
    <col min="13840" max="13840" width="11.875" customWidth="1"/>
    <col min="13841" max="13841" width="24.125" customWidth="1"/>
    <col min="14081" max="14081" width="12.75" customWidth="1"/>
    <col min="14082" max="14082" width="20.5" customWidth="1"/>
    <col min="14083" max="14083" width="13" customWidth="1"/>
    <col min="14084" max="14084" width="13.625" customWidth="1"/>
    <col min="14085" max="14085" width="14" customWidth="1"/>
    <col min="14086" max="14086" width="13.625" customWidth="1"/>
    <col min="14087" max="14087" width="13" customWidth="1"/>
    <col min="14088" max="14088" width="13.875" customWidth="1"/>
    <col min="14089" max="14089" width="13.625" customWidth="1"/>
    <col min="14090" max="14090" width="13.25" customWidth="1"/>
    <col min="14091" max="14091" width="14.75" customWidth="1"/>
    <col min="14092" max="14092" width="13.625" customWidth="1"/>
    <col min="14093" max="14093" width="13" customWidth="1"/>
    <col min="14094" max="14094" width="14" bestFit="1" customWidth="1"/>
    <col min="14095" max="14095" width="13.625" customWidth="1"/>
    <col min="14096" max="14096" width="11.875" customWidth="1"/>
    <col min="14097" max="14097" width="24.125" customWidth="1"/>
    <col min="14337" max="14337" width="12.75" customWidth="1"/>
    <col min="14338" max="14338" width="20.5" customWidth="1"/>
    <col min="14339" max="14339" width="13" customWidth="1"/>
    <col min="14340" max="14340" width="13.625" customWidth="1"/>
    <col min="14341" max="14341" width="14" customWidth="1"/>
    <col min="14342" max="14342" width="13.625" customWidth="1"/>
    <col min="14343" max="14343" width="13" customWidth="1"/>
    <col min="14344" max="14344" width="13.875" customWidth="1"/>
    <col min="14345" max="14345" width="13.625" customWidth="1"/>
    <col min="14346" max="14346" width="13.25" customWidth="1"/>
    <col min="14347" max="14347" width="14.75" customWidth="1"/>
    <col min="14348" max="14348" width="13.625" customWidth="1"/>
    <col min="14349" max="14349" width="13" customWidth="1"/>
    <col min="14350" max="14350" width="14" bestFit="1" customWidth="1"/>
    <col min="14351" max="14351" width="13.625" customWidth="1"/>
    <col min="14352" max="14352" width="11.875" customWidth="1"/>
    <col min="14353" max="14353" width="24.125" customWidth="1"/>
    <col min="14593" max="14593" width="12.75" customWidth="1"/>
    <col min="14594" max="14594" width="20.5" customWidth="1"/>
    <col min="14595" max="14595" width="13" customWidth="1"/>
    <col min="14596" max="14596" width="13.625" customWidth="1"/>
    <col min="14597" max="14597" width="14" customWidth="1"/>
    <col min="14598" max="14598" width="13.625" customWidth="1"/>
    <col min="14599" max="14599" width="13" customWidth="1"/>
    <col min="14600" max="14600" width="13.875" customWidth="1"/>
    <col min="14601" max="14601" width="13.625" customWidth="1"/>
    <col min="14602" max="14602" width="13.25" customWidth="1"/>
    <col min="14603" max="14603" width="14.75" customWidth="1"/>
    <col min="14604" max="14604" width="13.625" customWidth="1"/>
    <col min="14605" max="14605" width="13" customWidth="1"/>
    <col min="14606" max="14606" width="14" bestFit="1" customWidth="1"/>
    <col min="14607" max="14607" width="13.625" customWidth="1"/>
    <col min="14608" max="14608" width="11.875" customWidth="1"/>
    <col min="14609" max="14609" width="24.125" customWidth="1"/>
    <col min="14849" max="14849" width="12.75" customWidth="1"/>
    <col min="14850" max="14850" width="20.5" customWidth="1"/>
    <col min="14851" max="14851" width="13" customWidth="1"/>
    <col min="14852" max="14852" width="13.625" customWidth="1"/>
    <col min="14853" max="14853" width="14" customWidth="1"/>
    <col min="14854" max="14854" width="13.625" customWidth="1"/>
    <col min="14855" max="14855" width="13" customWidth="1"/>
    <col min="14856" max="14856" width="13.875" customWidth="1"/>
    <col min="14857" max="14857" width="13.625" customWidth="1"/>
    <col min="14858" max="14858" width="13.25" customWidth="1"/>
    <col min="14859" max="14859" width="14.75" customWidth="1"/>
    <col min="14860" max="14860" width="13.625" customWidth="1"/>
    <col min="14861" max="14861" width="13" customWidth="1"/>
    <col min="14862" max="14862" width="14" bestFit="1" customWidth="1"/>
    <col min="14863" max="14863" width="13.625" customWidth="1"/>
    <col min="14864" max="14864" width="11.875" customWidth="1"/>
    <col min="14865" max="14865" width="24.125" customWidth="1"/>
    <col min="15105" max="15105" width="12.75" customWidth="1"/>
    <col min="15106" max="15106" width="20.5" customWidth="1"/>
    <col min="15107" max="15107" width="13" customWidth="1"/>
    <col min="15108" max="15108" width="13.625" customWidth="1"/>
    <col min="15109" max="15109" width="14" customWidth="1"/>
    <col min="15110" max="15110" width="13.625" customWidth="1"/>
    <col min="15111" max="15111" width="13" customWidth="1"/>
    <col min="15112" max="15112" width="13.875" customWidth="1"/>
    <col min="15113" max="15113" width="13.625" customWidth="1"/>
    <col min="15114" max="15114" width="13.25" customWidth="1"/>
    <col min="15115" max="15115" width="14.75" customWidth="1"/>
    <col min="15116" max="15116" width="13.625" customWidth="1"/>
    <col min="15117" max="15117" width="13" customWidth="1"/>
    <col min="15118" max="15118" width="14" bestFit="1" customWidth="1"/>
    <col min="15119" max="15119" width="13.625" customWidth="1"/>
    <col min="15120" max="15120" width="11.875" customWidth="1"/>
    <col min="15121" max="15121" width="24.125" customWidth="1"/>
    <col min="15361" max="15361" width="12.75" customWidth="1"/>
    <col min="15362" max="15362" width="20.5" customWidth="1"/>
    <col min="15363" max="15363" width="13" customWidth="1"/>
    <col min="15364" max="15364" width="13.625" customWidth="1"/>
    <col min="15365" max="15365" width="14" customWidth="1"/>
    <col min="15366" max="15366" width="13.625" customWidth="1"/>
    <col min="15367" max="15367" width="13" customWidth="1"/>
    <col min="15368" max="15368" width="13.875" customWidth="1"/>
    <col min="15369" max="15369" width="13.625" customWidth="1"/>
    <col min="15370" max="15370" width="13.25" customWidth="1"/>
    <col min="15371" max="15371" width="14.75" customWidth="1"/>
    <col min="15372" max="15372" width="13.625" customWidth="1"/>
    <col min="15373" max="15373" width="13" customWidth="1"/>
    <col min="15374" max="15374" width="14" bestFit="1" customWidth="1"/>
    <col min="15375" max="15375" width="13.625" customWidth="1"/>
    <col min="15376" max="15376" width="11.875" customWidth="1"/>
    <col min="15377" max="15377" width="24.125" customWidth="1"/>
    <col min="15617" max="15617" width="12.75" customWidth="1"/>
    <col min="15618" max="15618" width="20.5" customWidth="1"/>
    <col min="15619" max="15619" width="13" customWidth="1"/>
    <col min="15620" max="15620" width="13.625" customWidth="1"/>
    <col min="15621" max="15621" width="14" customWidth="1"/>
    <col min="15622" max="15622" width="13.625" customWidth="1"/>
    <col min="15623" max="15623" width="13" customWidth="1"/>
    <col min="15624" max="15624" width="13.875" customWidth="1"/>
    <col min="15625" max="15625" width="13.625" customWidth="1"/>
    <col min="15626" max="15626" width="13.25" customWidth="1"/>
    <col min="15627" max="15627" width="14.75" customWidth="1"/>
    <col min="15628" max="15628" width="13.625" customWidth="1"/>
    <col min="15629" max="15629" width="13" customWidth="1"/>
    <col min="15630" max="15630" width="14" bestFit="1" customWidth="1"/>
    <col min="15631" max="15631" width="13.625" customWidth="1"/>
    <col min="15632" max="15632" width="11.875" customWidth="1"/>
    <col min="15633" max="15633" width="24.125" customWidth="1"/>
    <col min="15873" max="15873" width="12.75" customWidth="1"/>
    <col min="15874" max="15874" width="20.5" customWidth="1"/>
    <col min="15875" max="15875" width="13" customWidth="1"/>
    <col min="15876" max="15876" width="13.625" customWidth="1"/>
    <col min="15877" max="15877" width="14" customWidth="1"/>
    <col min="15878" max="15878" width="13.625" customWidth="1"/>
    <col min="15879" max="15879" width="13" customWidth="1"/>
    <col min="15880" max="15880" width="13.875" customWidth="1"/>
    <col min="15881" max="15881" width="13.625" customWidth="1"/>
    <col min="15882" max="15882" width="13.25" customWidth="1"/>
    <col min="15883" max="15883" width="14.75" customWidth="1"/>
    <col min="15884" max="15884" width="13.625" customWidth="1"/>
    <col min="15885" max="15885" width="13" customWidth="1"/>
    <col min="15886" max="15886" width="14" bestFit="1" customWidth="1"/>
    <col min="15887" max="15887" width="13.625" customWidth="1"/>
    <col min="15888" max="15888" width="11.875" customWidth="1"/>
    <col min="15889" max="15889" width="24.125" customWidth="1"/>
    <col min="16129" max="16129" width="12.75" customWidth="1"/>
    <col min="16130" max="16130" width="20.5" customWidth="1"/>
    <col min="16131" max="16131" width="13" customWidth="1"/>
    <col min="16132" max="16132" width="13.625" customWidth="1"/>
    <col min="16133" max="16133" width="14" customWidth="1"/>
    <col min="16134" max="16134" width="13.625" customWidth="1"/>
    <col min="16135" max="16135" width="13" customWidth="1"/>
    <col min="16136" max="16136" width="13.875" customWidth="1"/>
    <col min="16137" max="16137" width="13.625" customWidth="1"/>
    <col min="16138" max="16138" width="13.25" customWidth="1"/>
    <col min="16139" max="16139" width="14.75" customWidth="1"/>
    <col min="16140" max="16140" width="13.625" customWidth="1"/>
    <col min="16141" max="16141" width="13" customWidth="1"/>
    <col min="16142" max="16142" width="14" bestFit="1" customWidth="1"/>
    <col min="16143" max="16143" width="13.625" customWidth="1"/>
    <col min="16144" max="16144" width="11.875" customWidth="1"/>
    <col min="16145" max="16145" width="24.125" customWidth="1"/>
  </cols>
  <sheetData>
    <row r="1" spans="1:18">
      <c r="A1" s="903" t="s">
        <v>39</v>
      </c>
      <c r="B1" s="903"/>
      <c r="C1" s="903"/>
      <c r="D1" s="903"/>
      <c r="E1" s="903"/>
      <c r="F1" s="903"/>
      <c r="G1" s="903"/>
      <c r="H1" s="903"/>
      <c r="I1" s="903"/>
      <c r="J1" s="903"/>
      <c r="K1" s="903"/>
      <c r="L1" s="903"/>
      <c r="M1" s="903"/>
      <c r="N1" s="903"/>
      <c r="O1" s="903"/>
    </row>
    <row r="2" spans="1:18">
      <c r="A2" s="903" t="s">
        <v>40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</row>
    <row r="3" spans="1:18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1:18">
      <c r="A4" s="903" t="s">
        <v>595</v>
      </c>
      <c r="B4" s="903"/>
      <c r="C4" s="903"/>
      <c r="D4" s="90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</row>
    <row r="5" spans="1:18">
      <c r="A5" s="903" t="s">
        <v>167</v>
      </c>
      <c r="B5" s="903"/>
      <c r="C5" s="903"/>
      <c r="D5" s="903"/>
      <c r="E5" s="903"/>
      <c r="F5" s="903"/>
      <c r="G5" s="903"/>
      <c r="H5" s="903"/>
      <c r="I5" s="903"/>
      <c r="J5" s="903"/>
      <c r="K5" s="903"/>
      <c r="L5" s="903"/>
      <c r="M5" s="903"/>
      <c r="N5" s="903"/>
      <c r="O5" s="903"/>
    </row>
    <row r="7" spans="1:18" ht="16.5" thickBot="1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</row>
    <row r="8" spans="1:18" ht="20.25" thickTop="1">
      <c r="A8" s="904" t="s">
        <v>116</v>
      </c>
      <c r="B8" s="904"/>
      <c r="C8" s="91" t="s">
        <v>117</v>
      </c>
      <c r="D8" s="91" t="s">
        <v>118</v>
      </c>
      <c r="E8" s="91" t="s">
        <v>119</v>
      </c>
      <c r="F8" s="91" t="s">
        <v>120</v>
      </c>
      <c r="G8" s="91" t="s">
        <v>121</v>
      </c>
      <c r="H8" s="91" t="s">
        <v>122</v>
      </c>
      <c r="I8" s="91" t="s">
        <v>123</v>
      </c>
      <c r="J8" s="91" t="s">
        <v>124</v>
      </c>
      <c r="K8" s="91" t="s">
        <v>125</v>
      </c>
      <c r="L8" s="91" t="s">
        <v>126</v>
      </c>
      <c r="M8" s="91" t="s">
        <v>127</v>
      </c>
      <c r="N8" s="91" t="s">
        <v>128</v>
      </c>
      <c r="O8" s="92" t="s">
        <v>168</v>
      </c>
    </row>
    <row r="9" spans="1:18">
      <c r="A9" s="93" t="s">
        <v>130</v>
      </c>
      <c r="B9" s="70" t="s">
        <v>131</v>
      </c>
      <c r="C9" s="94">
        <f>('Producción MG'!C9*1000000)/264.18</f>
        <v>17293500.643500645</v>
      </c>
      <c r="D9" s="94">
        <f>('Producción MG'!D9*1000000)/264.18</f>
        <v>15410682.110682109</v>
      </c>
      <c r="E9" s="94">
        <f>('Producción MG'!E9*1000000)/264.18</f>
        <v>16816519.04004845</v>
      </c>
      <c r="F9" s="94">
        <f>('Producción MG'!F9*1000000)/264.18</f>
        <v>16027621.318797788</v>
      </c>
      <c r="G9" s="94">
        <f>('Producción MG'!G9*1000000)/264.18</f>
        <v>16911927.473692179</v>
      </c>
      <c r="H9" s="94">
        <f>('Producción MG'!H9*1000000)/264.18</f>
        <v>16860595.048830342</v>
      </c>
      <c r="I9" s="94">
        <f>('Producción MG'!I9*1000000)/264.18</f>
        <v>0</v>
      </c>
      <c r="J9" s="94">
        <f>('Producción MG'!J9*1000000)/264.18</f>
        <v>0</v>
      </c>
      <c r="K9" s="94">
        <f>('Producción MG'!K9*1000000)/264.18</f>
        <v>0</v>
      </c>
      <c r="L9" s="94">
        <f>('Producción MG'!L9*1000000)/264.18</f>
        <v>0</v>
      </c>
      <c r="M9" s="94">
        <f>('Producción MG'!M9*1000000)/264.18</f>
        <v>0</v>
      </c>
      <c r="N9" s="94">
        <f>('Producción MG'!N9*1000000)/264.18</f>
        <v>0</v>
      </c>
      <c r="O9" s="95">
        <f>AVERAGE(C9:N9)</f>
        <v>8276737.1362959603</v>
      </c>
    </row>
    <row r="10" spans="1:18">
      <c r="A10" s="96"/>
      <c r="B10" s="70" t="s">
        <v>133</v>
      </c>
      <c r="C10" s="94">
        <f>('Producción MG'!C10*1000000)/264.18</f>
        <v>1420243.7731849495</v>
      </c>
      <c r="D10" s="94">
        <f>('Producción MG'!D10*1000000)/264.18</f>
        <v>1268983.2689832689</v>
      </c>
      <c r="E10" s="94">
        <f>('Producción MG'!E10*1000000)/264.18</f>
        <v>1328185.328185328</v>
      </c>
      <c r="F10" s="94">
        <f>('Producción MG'!F10*1000000)/264.18</f>
        <v>1243243.2432432433</v>
      </c>
      <c r="G10" s="94">
        <f>('Producción MG'!G10*1000000)/264.18</f>
        <v>1244734.6506170034</v>
      </c>
      <c r="H10" s="94">
        <f>('Producción MG'!H10*1000000)/264.18</f>
        <v>1321598.909834204</v>
      </c>
      <c r="I10" s="94">
        <f>('Producción MG'!I10*1000000)/264.18</f>
        <v>0</v>
      </c>
      <c r="J10" s="94">
        <f>('Producción MG'!J10*1000000)/264.18</f>
        <v>0</v>
      </c>
      <c r="K10" s="94">
        <f>('Producción MG'!K10*1000000)/264.18</f>
        <v>0</v>
      </c>
      <c r="L10" s="94">
        <f>('Producción MG'!L10*1000000)/264.18</f>
        <v>0</v>
      </c>
      <c r="M10" s="94">
        <f>('Producción MG'!M10*1000000)/264.18</f>
        <v>0</v>
      </c>
      <c r="N10" s="94">
        <f>('Producción MG'!N10*1000000)/264.18</f>
        <v>0</v>
      </c>
      <c r="O10" s="95">
        <f t="shared" ref="O10:O37" si="0">AVERAGE(C10:N10)</f>
        <v>652249.09783733322</v>
      </c>
    </row>
    <row r="11" spans="1:18">
      <c r="A11" s="905" t="s">
        <v>132</v>
      </c>
      <c r="B11" s="70" t="s">
        <v>134</v>
      </c>
      <c r="C11" s="94">
        <f>('Producción MG'!C11*1000000)/264.18</f>
        <v>2639018.8507835567</v>
      </c>
      <c r="D11" s="94">
        <f>('Producción MG'!D11*1000000)/264.18</f>
        <v>2322208.3427965781</v>
      </c>
      <c r="E11" s="94">
        <f>('Producción MG'!E11*1000000)/264.18</f>
        <v>2003274.2826860473</v>
      </c>
      <c r="F11" s="94">
        <f>('Producción MG'!F11*1000000)/264.18</f>
        <v>2366731.0167310168</v>
      </c>
      <c r="G11" s="94">
        <f>('Producción MG'!G11*1000000)/264.18</f>
        <v>2343818.6085244906</v>
      </c>
      <c r="H11" s="94">
        <f>('Producción MG'!H11*1000000)/264.18</f>
        <v>2448198.1981981983</v>
      </c>
      <c r="I11" s="94">
        <f>('Producción MG'!I11*1000000)/264.18</f>
        <v>0</v>
      </c>
      <c r="J11" s="94">
        <f>('Producción MG'!J11*1000000)/264.18</f>
        <v>0</v>
      </c>
      <c r="K11" s="94">
        <f>('Producción MG'!K11*1000000)/264.18</f>
        <v>0</v>
      </c>
      <c r="L11" s="94">
        <f>('Producción MG'!L11*1000000)/264.18</f>
        <v>0</v>
      </c>
      <c r="M11" s="94">
        <f>('Producción MG'!M11*1000000)/264.18</f>
        <v>0</v>
      </c>
      <c r="N11" s="94">
        <f>('Producción MG'!N11*1000000)/264.18</f>
        <v>0</v>
      </c>
      <c r="O11" s="95">
        <f t="shared" si="0"/>
        <v>1176937.441643324</v>
      </c>
    </row>
    <row r="12" spans="1:18" hidden="1">
      <c r="A12" s="905"/>
      <c r="B12" s="98" t="s">
        <v>135</v>
      </c>
      <c r="C12" s="94">
        <f>('Producción MG'!C12*1000000)/264.18</f>
        <v>21352763.267469149</v>
      </c>
      <c r="D12" s="94">
        <f>('Producción MG'!D12*1000000)/264.18</f>
        <v>19001873.722461957</v>
      </c>
      <c r="E12" s="94">
        <f>('Producción MG'!E12*1000000)/264.18</f>
        <v>20147978.650919829</v>
      </c>
      <c r="F12" s="94">
        <f>('Producción MG'!F12*1000000)/264.18</f>
        <v>19637595.578772049</v>
      </c>
      <c r="G12" s="94">
        <f>('Producción MG'!G12*1000000)/264</f>
        <v>20514458.333333328</v>
      </c>
      <c r="H12" s="94">
        <f>('Producción MG'!H12*1000000)/264</f>
        <v>20644458.333333336</v>
      </c>
      <c r="I12" s="94">
        <f>('Producción MG'!I12*1000000)/264</f>
        <v>0</v>
      </c>
      <c r="J12" s="94">
        <f>('Producción MG'!J12*1000000)/264</f>
        <v>0</v>
      </c>
      <c r="K12" s="94">
        <f>('Producción MG'!K12*1000000)/264</f>
        <v>0</v>
      </c>
      <c r="L12" s="94">
        <f>('Producción MG'!L12*1000000)/264</f>
        <v>0</v>
      </c>
      <c r="M12" s="94">
        <f>('Producción MG'!M12*1000000)/264</f>
        <v>0</v>
      </c>
      <c r="N12" s="94">
        <f>('Producción MG'!N12*1000000)/264</f>
        <v>0</v>
      </c>
      <c r="O12" s="95">
        <f t="shared" si="0"/>
        <v>10108260.657190805</v>
      </c>
      <c r="R12" t="s">
        <v>169</v>
      </c>
    </row>
    <row r="13" spans="1:18" ht="20.100000000000001" customHeight="1">
      <c r="A13" s="99"/>
      <c r="B13" s="70" t="s">
        <v>136</v>
      </c>
      <c r="C13" s="94">
        <f>('Producción MG'!C13*1000000)/264.18</f>
        <v>873658.11189340602</v>
      </c>
      <c r="D13" s="94">
        <f>('Producción MG'!D13*1000000)/264.18</f>
        <v>800810.05375123024</v>
      </c>
      <c r="E13" s="94">
        <f>('Producción MG'!E13*1000000)/264.18</f>
        <v>831788.93178893172</v>
      </c>
      <c r="F13" s="94">
        <f>('Producción MG'!F13*1000000)/264.18</f>
        <v>838284.50299038528</v>
      </c>
      <c r="G13" s="94">
        <f>('Producción MG'!G13*1000000)/264.18</f>
        <v>891536.07388901501</v>
      </c>
      <c r="H13" s="94">
        <f>('Producción MG'!H13*1000000)/264.18</f>
        <v>906329.01809372392</v>
      </c>
      <c r="I13" s="94">
        <f>('Producción MG'!I13*1000000)/264.18</f>
        <v>0</v>
      </c>
      <c r="J13" s="94">
        <f>('Producción MG'!J13*1000000)/264.18</f>
        <v>0</v>
      </c>
      <c r="K13" s="94">
        <f>('Producción MG'!K13*1000000)/264.18</f>
        <v>0</v>
      </c>
      <c r="L13" s="94">
        <f>('Producción MG'!L13*1000000)/264.18</f>
        <v>0</v>
      </c>
      <c r="M13" s="94">
        <f>('Producción MG'!M13*1000000)/264.18</f>
        <v>0</v>
      </c>
      <c r="N13" s="94">
        <f>('Producción MG'!N13*1000000)/264.18</f>
        <v>0</v>
      </c>
      <c r="O13" s="95">
        <f t="shared" si="0"/>
        <v>428533.89103389106</v>
      </c>
    </row>
    <row r="14" spans="1:18" ht="20.100000000000001" customHeight="1">
      <c r="A14" s="99"/>
      <c r="B14" s="70" t="s">
        <v>138</v>
      </c>
      <c r="C14" s="94">
        <f>('Producción MG'!C14*1000000)/264.18</f>
        <v>1021201.4535543947</v>
      </c>
      <c r="D14" s="94">
        <f>('Producción MG'!D14*1000000)/264.18</f>
        <v>941801.04474222125</v>
      </c>
      <c r="E14" s="94">
        <f>('Producción MG'!E14*1000000)/264.18</f>
        <v>1067999.0915285032</v>
      </c>
      <c r="F14" s="94">
        <f>('Producción MG'!F14*1000000)/264.18</f>
        <v>1002498.2966159435</v>
      </c>
      <c r="G14" s="94">
        <f>('Producción MG'!G14*1000000)/264.18</f>
        <v>1054417.4426527368</v>
      </c>
      <c r="H14" s="94">
        <f>('Producción MG'!H14*1000000)/264.18</f>
        <v>1031569.384510561</v>
      </c>
      <c r="I14" s="94">
        <f>('Producción MG'!I14*1000000)/264.18</f>
        <v>0</v>
      </c>
      <c r="J14" s="94">
        <f>('Producción MG'!J14*1000000)/264.18</f>
        <v>0</v>
      </c>
      <c r="K14" s="94">
        <f>('Producción MG'!K14*1000000)/264.18</f>
        <v>0</v>
      </c>
      <c r="L14" s="94">
        <f>('Producción MG'!L14*1000000)/264.18</f>
        <v>0</v>
      </c>
      <c r="M14" s="94">
        <f>('Producción MG'!M14*1000000)/264.18</f>
        <v>0</v>
      </c>
      <c r="N14" s="94">
        <f>('Producción MG'!N14*1000000)/264.18</f>
        <v>0</v>
      </c>
      <c r="O14" s="95">
        <f t="shared" si="0"/>
        <v>509957.22613369668</v>
      </c>
    </row>
    <row r="15" spans="1:18">
      <c r="A15" s="100"/>
      <c r="B15" s="70" t="s">
        <v>626</v>
      </c>
      <c r="C15" s="94">
        <f>('Producción MG'!C15*1000000)/264.18</f>
        <v>973253.08501779079</v>
      </c>
      <c r="D15" s="94">
        <f>('Producción MG'!D15*1000000)/264.18</f>
        <v>879067.30259671435</v>
      </c>
      <c r="E15" s="94">
        <f>('Producción MG'!E15*1000000)/264.18</f>
        <v>973253.08501779079</v>
      </c>
      <c r="F15" s="94">
        <f>('Producción MG'!F15*1000000)/264.18</f>
        <v>932046.33204633207</v>
      </c>
      <c r="G15" s="94">
        <f>('Producción MG'!G15*1000000)/264.18</f>
        <v>973192.52025134373</v>
      </c>
      <c r="H15" s="94">
        <f>('Producción MG'!H15*1000000)/264.18</f>
        <v>941857.82421076531</v>
      </c>
      <c r="I15" s="94">
        <f>('Producción MG'!I15*1000000)/264.18</f>
        <v>0</v>
      </c>
      <c r="J15" s="94">
        <f>('Producción MG'!J15*1000000)/264.18</f>
        <v>0</v>
      </c>
      <c r="K15" s="94">
        <f>('Producción MG'!K15*1000000)/264.18</f>
        <v>0</v>
      </c>
      <c r="L15" s="94">
        <f>('Producción MG'!L15*1000000)/264.18</f>
        <v>0</v>
      </c>
      <c r="M15" s="94">
        <f>('Producción MG'!M15*1000000)/264.18</f>
        <v>0</v>
      </c>
      <c r="N15" s="94">
        <f>('Producción MG'!N15*1000000)/264.18</f>
        <v>0</v>
      </c>
      <c r="O15" s="95">
        <f t="shared" si="0"/>
        <v>472722.51242839481</v>
      </c>
    </row>
    <row r="16" spans="1:18">
      <c r="A16" s="115"/>
      <c r="B16" s="113" t="s">
        <v>139</v>
      </c>
      <c r="C16" s="113">
        <f>+SUM(C10,C11,C13,C14,C15,E57)</f>
        <v>14709450.564009387</v>
      </c>
      <c r="D16" s="113">
        <f>+SUM(D10,D11,D13,D14,D15,E58)</f>
        <v>13147676.962676961</v>
      </c>
      <c r="E16" s="113">
        <f>+SUM(E10,E11,E13,E14,E15,E59)</f>
        <v>13771934.287228405</v>
      </c>
      <c r="F16" s="113">
        <f>+SUM(F10,F11,F13,F14,F15,E60)</f>
        <v>13595232.985085925</v>
      </c>
      <c r="G16" s="113">
        <f>+SUM(G10,G11,G13,G14,G15,E61)</f>
        <v>14118066.65909607</v>
      </c>
      <c r="H16" s="113">
        <f>+SUM(H10,H11,H13,H14,H15,E62)</f>
        <v>14236821.106821105</v>
      </c>
      <c r="I16" s="113">
        <f>+SUM(I10,I11,I13,I14,I15,E63)</f>
        <v>0</v>
      </c>
      <c r="J16" s="113">
        <f>+SUM(J10,J11,J13,J14,J15,E64)</f>
        <v>0</v>
      </c>
      <c r="K16" s="113">
        <f>+SUM(K10,K11,K13,K14,K15,E65)</f>
        <v>0</v>
      </c>
      <c r="L16" s="113">
        <f>+SUM(L10,L11,L13,L14,L15,E66)</f>
        <v>0</v>
      </c>
      <c r="M16" s="113">
        <f>+SUM(M10,M11,M13,M14,M15,E67)</f>
        <v>0</v>
      </c>
      <c r="N16" s="113">
        <f>+SUM(N10,N11,N13,N14,N15,E68)</f>
        <v>0</v>
      </c>
      <c r="O16" s="114">
        <f t="shared" si="0"/>
        <v>6964931.8804098209</v>
      </c>
      <c r="P16" t="s">
        <v>106</v>
      </c>
    </row>
    <row r="17" spans="1:16">
      <c r="A17" s="96"/>
      <c r="B17" s="70" t="s">
        <v>140</v>
      </c>
      <c r="C17" s="94">
        <f>('Producción MG'!C18*1000000)/264.18</f>
        <v>5083730.7896131426</v>
      </c>
      <c r="D17" s="94">
        <f>('Producción MG'!D18*1000000)/264.18</f>
        <v>4619195.2456658334</v>
      </c>
      <c r="E17" s="94">
        <f>('Producción MG'!E18*1000000)/264.18</f>
        <v>4502233.3257627375</v>
      </c>
      <c r="F17" s="94">
        <f>('Producción MG'!F18*1000000)/264.18</f>
        <v>4392047.0891059125</v>
      </c>
      <c r="G17" s="94">
        <f>('Producción MG'!G18*1000000)/264.18</f>
        <v>4172613.3696721932</v>
      </c>
      <c r="H17" s="94">
        <f>('Producción MG'!H18*1000000)/264.18</f>
        <v>4493141.0401998637</v>
      </c>
      <c r="I17" s="94">
        <f>('Producción MG'!I18*1000000)/264.18</f>
        <v>0</v>
      </c>
      <c r="J17" s="94">
        <f>('Producción MG'!J18*1000000)/264.18</f>
        <v>0</v>
      </c>
      <c r="K17" s="94">
        <f>('Producción MG'!K18*1000000)/264.18</f>
        <v>0</v>
      </c>
      <c r="L17" s="94">
        <f>('Producción MG'!L18*1000000)/264.18</f>
        <v>0</v>
      </c>
      <c r="M17" s="94">
        <f>('Producción MG'!M18*1000000)/264.18</f>
        <v>0</v>
      </c>
      <c r="N17" s="94">
        <f>('Producción MG'!N18*1000000)/264.18</f>
        <v>0</v>
      </c>
      <c r="O17" s="95">
        <f t="shared" si="0"/>
        <v>2271913.4050016403</v>
      </c>
    </row>
    <row r="18" spans="1:16">
      <c r="A18" s="97"/>
      <c r="B18" s="70" t="s">
        <v>141</v>
      </c>
      <c r="C18" s="94">
        <f>('Producción MG'!C19*1000000)/264.18</f>
        <v>422155.34862593684</v>
      </c>
      <c r="D18" s="94">
        <f>('Producción MG'!D19*1000000)/264.18</f>
        <v>380498.14520402753</v>
      </c>
      <c r="E18" s="94">
        <f>('Producción MG'!E19*1000000)/264.18</f>
        <v>431675.37285184342</v>
      </c>
      <c r="F18" s="94">
        <f>('Producción MG'!F19*1000000)/264.18</f>
        <v>418767.50700280111</v>
      </c>
      <c r="G18" s="94">
        <f>('Producción MG'!G19*1000000)/264.18</f>
        <v>417896.88848512375</v>
      </c>
      <c r="H18" s="94">
        <f>('Producción MG'!H19*1000000)/264.18</f>
        <v>396017.86660610192</v>
      </c>
      <c r="I18" s="94">
        <f>('Producción MG'!I19*1000000)/264.18</f>
        <v>0</v>
      </c>
      <c r="J18" s="94">
        <f>('Producción MG'!J19*1000000)/264.18</f>
        <v>0</v>
      </c>
      <c r="K18" s="94">
        <f>('Producción MG'!K19*1000000)/264.18</f>
        <v>0</v>
      </c>
      <c r="L18" s="94">
        <f>('Producción MG'!L19*1000000)/264.18</f>
        <v>0</v>
      </c>
      <c r="M18" s="94">
        <f>('Producción MG'!M19*1000000)/264.18</f>
        <v>0</v>
      </c>
      <c r="N18" s="94">
        <f>('Producción MG'!N19*1000000)/264.18</f>
        <v>0</v>
      </c>
      <c r="O18" s="95">
        <f t="shared" si="0"/>
        <v>205584.26073131955</v>
      </c>
    </row>
    <row r="19" spans="1:16">
      <c r="A19" s="99"/>
      <c r="B19" s="70" t="s">
        <v>142</v>
      </c>
      <c r="C19" s="94">
        <f>('Producción MG'!C20*1000000)/264.18</f>
        <v>0</v>
      </c>
      <c r="D19" s="94">
        <f>('Producción MG'!D20*1000000)/264.18</f>
        <v>0</v>
      </c>
      <c r="E19" s="94">
        <f>('Producción MG'!E20*1000000)/264.18</f>
        <v>0</v>
      </c>
      <c r="F19" s="94">
        <f>('Producción MG'!F20*1000000)/264.18</f>
        <v>0</v>
      </c>
      <c r="G19" s="94">
        <f>('Producción MG'!G20*1000000)/264.18</f>
        <v>0</v>
      </c>
      <c r="H19" s="94">
        <f>('Producción MG'!H20*1000000)/264.18</f>
        <v>0</v>
      </c>
      <c r="I19" s="94">
        <f>('Producción MG'!I20*1000000)/264.18</f>
        <v>0</v>
      </c>
      <c r="J19" s="94">
        <f>('Producción MG'!J20*1000000)/264.18</f>
        <v>0</v>
      </c>
      <c r="K19" s="94">
        <f>('Producción MG'!K20*1000000)/264.18</f>
        <v>0</v>
      </c>
      <c r="L19" s="94">
        <f>('Producción MG'!L20*1000000)/264.18</f>
        <v>0</v>
      </c>
      <c r="M19" s="94">
        <f>('Producción MG'!M20*1000000)/264.18</f>
        <v>0</v>
      </c>
      <c r="N19" s="94">
        <f>('Producción MG'!N20*1000000)/264.18</f>
        <v>0</v>
      </c>
      <c r="O19" s="95">
        <f t="shared" si="0"/>
        <v>0</v>
      </c>
    </row>
    <row r="20" spans="1:16">
      <c r="A20" s="100"/>
      <c r="B20" s="70" t="s">
        <v>143</v>
      </c>
      <c r="C20" s="94">
        <f>('Producción MG'!C21*1000000)/264.18</f>
        <v>1124801.2718600954</v>
      </c>
      <c r="D20" s="94">
        <f>('Producción MG'!D21*1000000)/264.18</f>
        <v>1043985.1616322204</v>
      </c>
      <c r="E20" s="94">
        <f>('Producción MG'!E21*1000000)/264.18</f>
        <v>1163259.8985540161</v>
      </c>
      <c r="F20" s="94">
        <f>('Producción MG'!F21*1000000)/264.18</f>
        <v>1267507.0028011205</v>
      </c>
      <c r="G20" s="94">
        <f>('Producción MG'!G21*1000000)/264.18</f>
        <v>1320955.4091907032</v>
      </c>
      <c r="H20" s="94">
        <f>('Producción MG'!H21*1000000)/264.18</f>
        <v>1285373.6089030206</v>
      </c>
      <c r="I20" s="94">
        <f>('Producción MG'!I21*1000000)/264.18</f>
        <v>0</v>
      </c>
      <c r="J20" s="94">
        <f>('Producción MG'!J21*1000000)/264.18</f>
        <v>0</v>
      </c>
      <c r="K20" s="94">
        <f>('Producción MG'!K21*1000000)/264.18</f>
        <v>0</v>
      </c>
      <c r="L20" s="94">
        <f>('Producción MG'!L21*1000000)/264.18</f>
        <v>0</v>
      </c>
      <c r="M20" s="94">
        <f>('Producción MG'!M21*1000000)/264.18</f>
        <v>0</v>
      </c>
      <c r="N20" s="94">
        <f>('Producción MG'!N21*1000000)/264.18</f>
        <v>0</v>
      </c>
      <c r="O20" s="95">
        <f t="shared" si="0"/>
        <v>600490.19607843133</v>
      </c>
    </row>
    <row r="21" spans="1:16">
      <c r="A21" s="115"/>
      <c r="B21" s="113" t="s">
        <v>144</v>
      </c>
      <c r="C21" s="113">
        <f>+SUM(C17,C18,C20,F57)</f>
        <v>15969177.757589523</v>
      </c>
      <c r="D21" s="113">
        <f>+SUM(D17,D18,D20,F58)</f>
        <v>14365446.89227042</v>
      </c>
      <c r="E21" s="113">
        <f>+SUM(E17,E18,E20,F59)</f>
        <v>15178088.87879476</v>
      </c>
      <c r="F21" s="113">
        <f>+SUM(F17,F18,F20,F60)</f>
        <v>14733237.111060638</v>
      </c>
      <c r="G21" s="113">
        <f>+SUM(G17,G18,G20,F61)</f>
        <v>15043906.503141796</v>
      </c>
      <c r="H21" s="113">
        <f>+SUM(H17,H18,H20,F62)</f>
        <v>15279253.842077373</v>
      </c>
      <c r="I21" s="113">
        <f>+SUM(I17,I18,I20,F63)</f>
        <v>0</v>
      </c>
      <c r="J21" s="113">
        <f>+SUM(J17,J18,J20,F64)</f>
        <v>0</v>
      </c>
      <c r="K21" s="113">
        <f>+SUM(K17,K18,K20,F65)</f>
        <v>0</v>
      </c>
      <c r="L21" s="113">
        <f>+SUM(L17,L18,L20,F66)</f>
        <v>0</v>
      </c>
      <c r="M21" s="113">
        <f>+SUM(M17,M18,M20,F67)</f>
        <v>0</v>
      </c>
      <c r="N21" s="113">
        <f>+SUM(N17,N18,N20,F68)</f>
        <v>0</v>
      </c>
      <c r="O21" s="114">
        <f t="shared" si="0"/>
        <v>7547425.9154112088</v>
      </c>
      <c r="P21" t="s">
        <v>106</v>
      </c>
    </row>
    <row r="22" spans="1:16">
      <c r="A22" s="906" t="s">
        <v>146</v>
      </c>
      <c r="B22" s="70" t="s">
        <v>596</v>
      </c>
      <c r="C22" s="94">
        <f>('Producción MG'!C23*1000000)/264.18</f>
        <v>257475.96335831628</v>
      </c>
      <c r="D22" s="94">
        <f>('Producción MG'!D23*1000000)/264.18</f>
        <v>236425.92172003936</v>
      </c>
      <c r="E22" s="94">
        <f>('Producción MG'!E23*1000000)/264.18</f>
        <v>494817.92717086832</v>
      </c>
      <c r="F22" s="94">
        <f>('Producción MG'!F23*1000000)/264.18</f>
        <v>177863.57786357787</v>
      </c>
      <c r="G22" s="94">
        <f>('Producción MG'!G23*1000000)/264.18</f>
        <v>218684.23044893632</v>
      </c>
      <c r="H22" s="94">
        <f>('Producción MG'!H23*1000000)/264.18</f>
        <v>283450.67756832461</v>
      </c>
      <c r="I22" s="94">
        <f>('Producción MG'!I23*1000000)/264.18</f>
        <v>0</v>
      </c>
      <c r="J22" s="94">
        <f>('Producción MG'!J23*1000000)/264.18</f>
        <v>0</v>
      </c>
      <c r="K22" s="94">
        <f>('Producción MG'!K23*1000000)/264.18</f>
        <v>0</v>
      </c>
      <c r="L22" s="94">
        <f>('Producción MG'!L23*1000000)/264.18</f>
        <v>0</v>
      </c>
      <c r="M22" s="94">
        <f>('Producción MG'!M23*1000000)/264.18</f>
        <v>0</v>
      </c>
      <c r="N22" s="94">
        <f>('Producción MG'!N23*1000000)/264.18</f>
        <v>0</v>
      </c>
      <c r="O22" s="95">
        <f t="shared" si="0"/>
        <v>139059.85817750523</v>
      </c>
    </row>
    <row r="23" spans="1:16">
      <c r="A23" s="906"/>
      <c r="B23" s="70" t="s">
        <v>597</v>
      </c>
      <c r="C23" s="94">
        <f>('Producción MG'!C24*1000000)/264.18</f>
        <v>221409.64493905668</v>
      </c>
      <c r="D23" s="94">
        <f>('Producción MG'!D24*1000000)/264.18</f>
        <v>190763.8731168143</v>
      </c>
      <c r="E23" s="94">
        <f>('Producción MG'!E24*1000000)/264.18</f>
        <v>160367.93095616624</v>
      </c>
      <c r="F23" s="94">
        <f>('Producción MG'!F24*1000000)/264.18</f>
        <v>214914.07373760315</v>
      </c>
      <c r="G23" s="94">
        <f>('Producción MG'!G24*1000000)/264.18</f>
        <v>185415.24717995306</v>
      </c>
      <c r="H23" s="94">
        <f>('Producción MG'!H24*1000000)/264.18</f>
        <v>151794.23120599592</v>
      </c>
      <c r="I23" s="94">
        <f>('Producción MG'!I24*1000000)/264.18</f>
        <v>0</v>
      </c>
      <c r="J23" s="94">
        <f>('Producción MG'!J24*1000000)/264.18</f>
        <v>0</v>
      </c>
      <c r="K23" s="94">
        <f>('Producción MG'!K24*1000000)/264.18</f>
        <v>0</v>
      </c>
      <c r="L23" s="94">
        <f>('Producción MG'!L24*1000000)/264.18</f>
        <v>0</v>
      </c>
      <c r="M23" s="94">
        <f>('Producción MG'!M24*1000000)/264.18</f>
        <v>0</v>
      </c>
      <c r="N23" s="94">
        <f>('Producción MG'!N24*1000000)/264.18</f>
        <v>0</v>
      </c>
      <c r="O23" s="95"/>
    </row>
    <row r="24" spans="1:16">
      <c r="A24" s="906" t="s">
        <v>146</v>
      </c>
      <c r="B24" s="70" t="s">
        <v>147</v>
      </c>
      <c r="C24" s="94">
        <f>('Producción MG'!C25*1000000)/264.18</f>
        <v>684699.8258762965</v>
      </c>
      <c r="D24" s="94">
        <f>('Producción MG'!D25*1000000)/264.18</f>
        <v>642444.54538572184</v>
      </c>
      <c r="E24" s="94">
        <f>('Producción MG'!E25*1000000)/264.18</f>
        <v>802097.05503823154</v>
      </c>
      <c r="F24" s="94">
        <f>('Producción MG'!F25*1000000)/264.18</f>
        <v>722340.82822318119</v>
      </c>
      <c r="G24" s="94">
        <f>('Producción MG'!G25*1000000)/264.18</f>
        <v>674278.90074948897</v>
      </c>
      <c r="H24" s="94">
        <f>('Producción MG'!H25*1000000)/264.18</f>
        <v>706279.80922098563</v>
      </c>
      <c r="I24" s="94">
        <f>('Producción MG'!I25*1000000)/264.18</f>
        <v>0</v>
      </c>
      <c r="J24" s="94">
        <f>('Producción MG'!J25*1000000)/264.18</f>
        <v>0</v>
      </c>
      <c r="K24" s="94">
        <f>('Producción MG'!K25*1000000)/264.18</f>
        <v>0</v>
      </c>
      <c r="L24" s="94">
        <f>('Producción MG'!L25*1000000)/264.18</f>
        <v>0</v>
      </c>
      <c r="M24" s="94">
        <f>('Producción MG'!M25*1000000)/264.18</f>
        <v>0</v>
      </c>
      <c r="N24" s="94">
        <f>('Producción MG'!N25*1000000)/264.18</f>
        <v>0</v>
      </c>
      <c r="O24" s="95">
        <f t="shared" si="0"/>
        <v>352678.41370782541</v>
      </c>
    </row>
    <row r="25" spans="1:16">
      <c r="A25" s="906"/>
      <c r="B25" s="73" t="s">
        <v>148</v>
      </c>
      <c r="C25" s="94">
        <f>('Producción MG'!C26*1000000)/264.18</f>
        <v>400617.00355818</v>
      </c>
      <c r="D25" s="94">
        <f>('Producción MG'!D26*1000000)/264.18</f>
        <v>462676.96267696266</v>
      </c>
      <c r="E25" s="94">
        <f>('Producción MG'!E26*1000000)/264.18</f>
        <v>517533.49988644104</v>
      </c>
      <c r="F25" s="94">
        <f>('Producción MG'!F26*1000000)/264.18</f>
        <v>446453.17586494057</v>
      </c>
      <c r="G25" s="94">
        <f>('Producción MG'!G26*1000000)/264.18</f>
        <v>440074.94889847829</v>
      </c>
      <c r="H25" s="94">
        <f>('Producción MG'!H26*1000000)/264.18</f>
        <v>480638.20122643653</v>
      </c>
      <c r="I25" s="94">
        <f>('Producción MG'!I26*1000000)/264.18</f>
        <v>0</v>
      </c>
      <c r="J25" s="94">
        <f>('Producción MG'!J26*1000000)/264.18</f>
        <v>0</v>
      </c>
      <c r="K25" s="94">
        <f>('Producción MG'!K26*1000000)/264.18</f>
        <v>0</v>
      </c>
      <c r="L25" s="94">
        <f>('Producción MG'!L26*1000000)/264.18</f>
        <v>0</v>
      </c>
      <c r="M25" s="94">
        <f>('Producción MG'!M26*1000000)/264.18</f>
        <v>0</v>
      </c>
      <c r="N25" s="94">
        <f>('Producción MG'!N26*1000000)/264.18</f>
        <v>0</v>
      </c>
      <c r="O25" s="95">
        <f t="shared" si="0"/>
        <v>228999.48267595327</v>
      </c>
    </row>
    <row r="26" spans="1:16">
      <c r="A26" s="906"/>
      <c r="B26" s="73" t="s">
        <v>149</v>
      </c>
      <c r="C26" s="94">
        <f>('Producción MG'!C27*1000000)/264.18</f>
        <v>239836.47513059276</v>
      </c>
      <c r="D26" s="94">
        <f>('Producción MG'!D27*1000000)/264.18</f>
        <v>233102.43016125369</v>
      </c>
      <c r="E26" s="94">
        <f>('Producción MG'!E27*1000000)/264.18</f>
        <v>266026.95132106898</v>
      </c>
      <c r="F26" s="94">
        <f>('Producción MG'!F27*1000000)/264.18</f>
        <v>273616.47361647361</v>
      </c>
      <c r="G26" s="94">
        <f>('Producción MG'!G27*1000000)/264.18</f>
        <v>281353.62253009313</v>
      </c>
      <c r="H26" s="94">
        <f>('Producción MG'!H27*1000000)/264.18</f>
        <v>257195.85131349837</v>
      </c>
      <c r="I26" s="94">
        <f>('Producción MG'!I27*1000000)/264.18</f>
        <v>0</v>
      </c>
      <c r="J26" s="94">
        <f>('Producción MG'!J27*1000000)/264.18</f>
        <v>0</v>
      </c>
      <c r="K26" s="94">
        <f>('Producción MG'!K27*1000000)/264.18</f>
        <v>0</v>
      </c>
      <c r="L26" s="94">
        <f>('Producción MG'!L27*1000000)/264.18</f>
        <v>0</v>
      </c>
      <c r="M26" s="94">
        <f>('Producción MG'!M27*1000000)/264.18</f>
        <v>0</v>
      </c>
      <c r="N26" s="94">
        <f>('Producción MG'!N27*1000000)/264.18</f>
        <v>0</v>
      </c>
      <c r="O26" s="95">
        <f t="shared" si="0"/>
        <v>129260.98367274838</v>
      </c>
    </row>
    <row r="27" spans="1:16">
      <c r="A27" s="906"/>
      <c r="B27" s="70" t="s">
        <v>138</v>
      </c>
      <c r="C27" s="94">
        <f>('Producción MG'!C28*1000000)/264.18</f>
        <v>5128878.0377015667</v>
      </c>
      <c r="D27" s="94">
        <f>('Producción MG'!D28*1000000)/264.18</f>
        <v>4694337.1943371939</v>
      </c>
      <c r="E27" s="94">
        <f>('Producción MG'!E28*1000000)/264.18</f>
        <v>5276951.3210689677</v>
      </c>
      <c r="F27" s="94">
        <f>('Producción MG'!F28*1000000)/264.18</f>
        <v>5025497.7666742373</v>
      </c>
      <c r="G27" s="94">
        <f>('Producción MG'!G28*1000000)/264.18</f>
        <v>5040090.0900900904</v>
      </c>
      <c r="H27" s="94">
        <f>('Producción MG'!H28*1000000)/264.18</f>
        <v>4681671.5875539407</v>
      </c>
      <c r="I27" s="94">
        <f>('Producción MG'!I28*1000000)/264.18</f>
        <v>0</v>
      </c>
      <c r="J27" s="94">
        <f>('Producción MG'!J28*1000000)/264.18</f>
        <v>0</v>
      </c>
      <c r="K27" s="94">
        <f>('Producción MG'!K28*1000000)/264.18</f>
        <v>0</v>
      </c>
      <c r="L27" s="94">
        <f>('Producción MG'!L28*1000000)/264.18</f>
        <v>0</v>
      </c>
      <c r="M27" s="94">
        <f>('Producción MG'!M28*1000000)/264.18</f>
        <v>0</v>
      </c>
      <c r="N27" s="94">
        <f>('Producción MG'!N28*1000000)/264.18</f>
        <v>0</v>
      </c>
      <c r="O27" s="95">
        <f t="shared" si="0"/>
        <v>2487285.4997854996</v>
      </c>
    </row>
    <row r="28" spans="1:16">
      <c r="A28" s="115"/>
      <c r="B28" s="113" t="s">
        <v>150</v>
      </c>
      <c r="C28" s="113">
        <f>+SUM(C22,C23,C24,C25,C26,C27,C57)</f>
        <v>7105851.956999016</v>
      </c>
      <c r="D28" s="113">
        <f>+SUM(D22,D23,D24,D25,D26,D27,C58)</f>
        <v>6613857.7485048072</v>
      </c>
      <c r="E28" s="113">
        <f>+SUM(E22,E23,E24,E25,E26,E27,C59)</f>
        <v>7685959.8758422285</v>
      </c>
      <c r="F28" s="113">
        <f>+SUM(F22,F23,F24,F25,F26,F27,C60)</f>
        <v>7020962.1091679912</v>
      </c>
      <c r="G28" s="113">
        <f>+SUM(G22,G23,G24,G25,G26,G27,C61)</f>
        <v>7009016.3146339627</v>
      </c>
      <c r="H28" s="113">
        <f>+SUM(H22,H23,H24,H25,H26,H27,C62)</f>
        <v>6729636.3085774854</v>
      </c>
      <c r="I28" s="113">
        <f>+SUM(I22,I23,I24,I25,I26,I27,C63)</f>
        <v>0</v>
      </c>
      <c r="J28" s="113">
        <f>+SUM(J22,J23,J24,J25,J26,J27,C64)</f>
        <v>0</v>
      </c>
      <c r="K28" s="113">
        <f>+SUM(K22,K23,K24,K25,K26,K27,C65)</f>
        <v>0</v>
      </c>
      <c r="L28" s="113">
        <f>+SUM(L22,L23,L24,L25,L26,L27,C66)</f>
        <v>0</v>
      </c>
      <c r="M28" s="113">
        <f>+SUM(M22,M23,M24,M25,M26,M27,C67)</f>
        <v>0</v>
      </c>
      <c r="N28" s="113">
        <f>+SUM(N22,N23,N24,N25,N26,N27,C68)</f>
        <v>0</v>
      </c>
      <c r="O28" s="114">
        <f t="shared" si="0"/>
        <v>3513773.6928104577</v>
      </c>
      <c r="P28" t="s">
        <v>106</v>
      </c>
    </row>
    <row r="29" spans="1:16">
      <c r="A29" s="96"/>
      <c r="B29" s="70" t="s">
        <v>151</v>
      </c>
      <c r="C29" s="94">
        <f>('Producción MG'!C30*1000000)/264.18</f>
        <v>2732682.2620940269</v>
      </c>
      <c r="D29" s="94">
        <f>('Producción MG'!D30*1000000)/264.18</f>
        <v>2455712.014535544</v>
      </c>
      <c r="E29" s="94">
        <f>('Producción MG'!E30*1000000)/264.18</f>
        <v>2859489.7418426829</v>
      </c>
      <c r="F29" s="94">
        <f>('Producción MG'!F30*1000000)/264.18</f>
        <v>2604587.7810583692</v>
      </c>
      <c r="G29" s="94">
        <f>('Producción MG'!G30*1000000)/264.18</f>
        <v>2649065.0314179724</v>
      </c>
      <c r="H29" s="94">
        <f>('Producción MG'!H30*1000000)/264.18</f>
        <v>2813044.1365735484</v>
      </c>
      <c r="I29" s="94">
        <f>('Producción MG'!I30*1000000)/264.18</f>
        <v>0</v>
      </c>
      <c r="J29" s="94">
        <f>('Producción MG'!J30*1000000)/264.18</f>
        <v>0</v>
      </c>
      <c r="K29" s="94">
        <f>('Producción MG'!K30*1000000)/264.18</f>
        <v>0</v>
      </c>
      <c r="L29" s="94">
        <f>('Producción MG'!L30*1000000)/264.18</f>
        <v>0</v>
      </c>
      <c r="M29" s="94">
        <f>('Producción MG'!M30*1000000)/264.18</f>
        <v>0</v>
      </c>
      <c r="N29" s="94">
        <f>('Producción MG'!N30*1000000)/264.18</f>
        <v>0</v>
      </c>
      <c r="O29" s="95">
        <f t="shared" si="0"/>
        <v>1342881.7472935121</v>
      </c>
    </row>
    <row r="30" spans="1:16">
      <c r="A30" s="907" t="s">
        <v>152</v>
      </c>
      <c r="B30" s="70" t="s">
        <v>153</v>
      </c>
      <c r="C30" s="94">
        <f>('Producción MG'!C31*1000000)/264.18</f>
        <v>0</v>
      </c>
      <c r="D30" s="94">
        <f>('Producción MG'!D31*1000000)/264.18</f>
        <v>0</v>
      </c>
      <c r="E30" s="94">
        <f>('Producción MG'!E31*1000000)/264.18</f>
        <v>0</v>
      </c>
      <c r="F30" s="94">
        <f>('Producción MG'!F31*1000000)/264.18</f>
        <v>0</v>
      </c>
      <c r="G30" s="94">
        <f>('Producción MG'!G31*1000000)/264.18</f>
        <v>0</v>
      </c>
      <c r="H30" s="94">
        <f>('Producción MG'!H31*1000000)/264.18</f>
        <v>0</v>
      </c>
      <c r="I30" s="94">
        <f>('Producción MG'!I31*1000000)/264.18</f>
        <v>0</v>
      </c>
      <c r="J30" s="94">
        <f>('Producción MG'!J31*1000000)/264.18</f>
        <v>0</v>
      </c>
      <c r="K30" s="94">
        <f>('Producción MG'!K31*1000000)/264.18</f>
        <v>0</v>
      </c>
      <c r="L30" s="94">
        <f>('Producción MG'!L31*1000000)/264.18</f>
        <v>0</v>
      </c>
      <c r="M30" s="94">
        <f>('Producción MG'!M31*1000000)/264.18</f>
        <v>0</v>
      </c>
      <c r="N30" s="94">
        <f>('Producción MG'!N31*1000000)/264.18</f>
        <v>0</v>
      </c>
      <c r="O30" s="95">
        <f t="shared" si="0"/>
        <v>0</v>
      </c>
    </row>
    <row r="31" spans="1:16">
      <c r="A31" s="907"/>
      <c r="B31" s="70" t="s">
        <v>154</v>
      </c>
      <c r="C31" s="94">
        <f>('Producción MG'!C32*1000000)/264.18</f>
        <v>0</v>
      </c>
      <c r="D31" s="94">
        <f>('Producción MG'!D32*1000000)/264.18</f>
        <v>0</v>
      </c>
      <c r="E31" s="94">
        <f>('Producción MG'!E32*1000000)/264.18</f>
        <v>0</v>
      </c>
      <c r="F31" s="94">
        <f>('Producción MG'!F32*1000000)/264.18</f>
        <v>0</v>
      </c>
      <c r="G31" s="94">
        <f>('Producción MG'!G32*1000000)/264.18</f>
        <v>0</v>
      </c>
      <c r="H31" s="94">
        <f>('Producción MG'!H32*1000000)/264.18</f>
        <v>0</v>
      </c>
      <c r="I31" s="94">
        <f>('Producción MG'!I32*1000000)/264.18</f>
        <v>0</v>
      </c>
      <c r="J31" s="94">
        <f>('Producción MG'!J32*1000000)/264.18</f>
        <v>0</v>
      </c>
      <c r="K31" s="94">
        <f>('Producción MG'!K32*1000000)/264.18</f>
        <v>0</v>
      </c>
      <c r="L31" s="94">
        <f>('Producción MG'!L32*1000000)/264.18</f>
        <v>0</v>
      </c>
      <c r="M31" s="94">
        <f>('Producción MG'!M32*1000000)/264.18</f>
        <v>0</v>
      </c>
      <c r="N31" s="94">
        <f>('Producción MG'!N32*1000000)/264.18</f>
        <v>0</v>
      </c>
      <c r="O31" s="95">
        <f t="shared" si="0"/>
        <v>0</v>
      </c>
    </row>
    <row r="32" spans="1:16">
      <c r="A32" s="907"/>
      <c r="B32" s="70" t="s">
        <v>155</v>
      </c>
      <c r="C32" s="94">
        <f>('Producción MG'!C33*1000000)/264.18</f>
        <v>2720342.1909304261</v>
      </c>
      <c r="D32" s="94">
        <f>('Producción MG'!D33*1000000)/264.18</f>
        <v>2337345.7491104552</v>
      </c>
      <c r="E32" s="94">
        <f>('Producción MG'!E33*1000000)/264.18</f>
        <v>2493678.5525020817</v>
      </c>
      <c r="F32" s="94">
        <f>('Producción MG'!F33*1000000)/264.18</f>
        <v>2476076.9172533876</v>
      </c>
      <c r="G32" s="94">
        <f>('Producción MG'!G33*1000000)/264.18</f>
        <v>2568816.7158755395</v>
      </c>
      <c r="H32" s="94">
        <f>('Producción MG'!H33*1000000)/264.18</f>
        <v>2102013.7784843668</v>
      </c>
      <c r="I32" s="94">
        <f>('Producción MG'!I33*1000000)/264.18</f>
        <v>0</v>
      </c>
      <c r="J32" s="94">
        <f>('Producción MG'!J33*1000000)/264.18</f>
        <v>0</v>
      </c>
      <c r="K32" s="94">
        <f>('Producción MG'!K33*1000000)/264.18</f>
        <v>0</v>
      </c>
      <c r="L32" s="94">
        <f>('Producción MG'!L33*1000000)/264.18</f>
        <v>0</v>
      </c>
      <c r="M32" s="94">
        <f>('Producción MG'!M33*1000000)/264.18</f>
        <v>0</v>
      </c>
      <c r="N32" s="94">
        <f>('Producción MG'!N33*1000000)/264.18</f>
        <v>0</v>
      </c>
      <c r="O32" s="95">
        <f t="shared" si="0"/>
        <v>1224856.1586796881</v>
      </c>
    </row>
    <row r="33" spans="1:17">
      <c r="A33" s="907"/>
      <c r="B33" s="70" t="s">
        <v>156</v>
      </c>
      <c r="C33" s="94">
        <f>('Producción MG'!C34*1000000)/264.18</f>
        <v>0</v>
      </c>
      <c r="D33" s="94">
        <f>('Producción MG'!D34*1000000)/264.18</f>
        <v>0</v>
      </c>
      <c r="E33" s="94">
        <f>('Producción MG'!E34*1000000)/264.18</f>
        <v>0</v>
      </c>
      <c r="F33" s="94">
        <f>('Producción MG'!F34*1000000)/264.18</f>
        <v>0</v>
      </c>
      <c r="G33" s="94">
        <f>('Producción MG'!G34*1000000)/264.18</f>
        <v>0</v>
      </c>
      <c r="H33" s="94">
        <f>('Producción MG'!H34*1000000)/264.18</f>
        <v>0</v>
      </c>
      <c r="I33" s="94">
        <f>('Producción MG'!I34*1000000)/264.18</f>
        <v>0</v>
      </c>
      <c r="J33" s="94">
        <f>('Producción MG'!J34*1000000)/264.18</f>
        <v>0</v>
      </c>
      <c r="K33" s="94">
        <f>('Producción MG'!K34*1000000)/264.18</f>
        <v>0</v>
      </c>
      <c r="L33" s="94">
        <f>('Producción MG'!L34*1000000)/264.18</f>
        <v>0</v>
      </c>
      <c r="M33" s="94">
        <f>('Producción MG'!M34*1000000)/264.18</f>
        <v>0</v>
      </c>
      <c r="N33" s="94">
        <f>('Producción MG'!N34*1000000)/264.18</f>
        <v>0</v>
      </c>
      <c r="O33" s="95">
        <f t="shared" si="0"/>
        <v>0</v>
      </c>
    </row>
    <row r="34" spans="1:17">
      <c r="A34" s="907"/>
      <c r="B34" s="70" t="s">
        <v>138</v>
      </c>
      <c r="C34" s="94">
        <f>('Producción MG'!C35*1000000)/264.18</f>
        <v>0</v>
      </c>
      <c r="D34" s="94">
        <f>('Producción MG'!D35*1000000)/264.18</f>
        <v>0</v>
      </c>
      <c r="E34" s="94">
        <f>('Producción MG'!E35*1000000)/264.18</f>
        <v>0</v>
      </c>
      <c r="F34" s="94">
        <f>('Producción MG'!F35*1000000)/264.18</f>
        <v>0</v>
      </c>
      <c r="G34" s="94">
        <f>('Producción MG'!G35*1000000)/264.18</f>
        <v>0</v>
      </c>
      <c r="H34" s="94">
        <f>('Producción MG'!H35*1000000)/264.18</f>
        <v>0</v>
      </c>
      <c r="I34" s="94">
        <f>('Producción MG'!I35*1000000)/264.18</f>
        <v>0</v>
      </c>
      <c r="J34" s="94">
        <f>('Producción MG'!J35*1000000)/264.18</f>
        <v>0</v>
      </c>
      <c r="K34" s="94">
        <f>('Producción MG'!K35*1000000)/264.18</f>
        <v>0</v>
      </c>
      <c r="L34" s="94">
        <f>('Producción MG'!L35*1000000)/264.18</f>
        <v>0</v>
      </c>
      <c r="M34" s="94">
        <f>('Producción MG'!M35*1000000)/264.18</f>
        <v>0</v>
      </c>
      <c r="N34" s="94">
        <f>('Producción MG'!N35*1000000)/264.18</f>
        <v>0</v>
      </c>
      <c r="O34" s="95">
        <f t="shared" si="0"/>
        <v>0</v>
      </c>
    </row>
    <row r="35" spans="1:17">
      <c r="A35" s="907"/>
      <c r="B35" s="70" t="s">
        <v>157</v>
      </c>
      <c r="C35" s="94">
        <f>('Producción MG'!C36*1000000)/264.18</f>
        <v>9886827.1632977519</v>
      </c>
      <c r="D35" s="94">
        <f>('Producción MG'!D36*1000000)/264.18</f>
        <v>9311215.8376864251</v>
      </c>
      <c r="E35" s="94">
        <f>('Producción MG'!E36*1000000)/264.18</f>
        <v>9454356.8778862897</v>
      </c>
      <c r="F35" s="94">
        <f>('Producción MG'!F36*1000000)/264.18</f>
        <v>8916344.9163449164</v>
      </c>
      <c r="G35" s="94">
        <f>('Producción MG'!G36*1000000)/264.18</f>
        <v>8551676.8869710043</v>
      </c>
      <c r="H35" s="94">
        <f>('Producción MG'!H36*1000000)/264.18</f>
        <v>8978560.0726777203</v>
      </c>
      <c r="I35" s="94">
        <f>('Producción MG'!I36*1000000)/264.18</f>
        <v>0</v>
      </c>
      <c r="J35" s="94">
        <f>('Producción MG'!J36*1000000)/264.18</f>
        <v>0</v>
      </c>
      <c r="K35" s="94">
        <f>('Producción MG'!K36*1000000)/264.18</f>
        <v>0</v>
      </c>
      <c r="L35" s="94">
        <f>('Producción MG'!L36*1000000)/264.18</f>
        <v>0</v>
      </c>
      <c r="M35" s="94">
        <f>('Producción MG'!M36*1000000)/264.18</f>
        <v>0</v>
      </c>
      <c r="N35" s="94">
        <f>('Producción MG'!N36*1000000)/264.18</f>
        <v>0</v>
      </c>
      <c r="O35" s="95">
        <f t="shared" si="0"/>
        <v>4591581.8129053423</v>
      </c>
    </row>
    <row r="36" spans="1:17">
      <c r="A36" s="100"/>
      <c r="B36" s="70" t="s">
        <v>158</v>
      </c>
      <c r="C36" s="94">
        <f>('Producción MG'!C37*1000000)/264.18</f>
        <v>182451.35892194716</v>
      </c>
      <c r="D36" s="94">
        <f>('Producción MG'!D37*1000000)/264.18</f>
        <v>155689.30274812627</v>
      </c>
      <c r="E36" s="94">
        <f>('Producción MG'!E37*1000000)/264.18</f>
        <v>170315.69384510562</v>
      </c>
      <c r="F36" s="94">
        <f>('Producción MG'!F37*1000000)/264.18</f>
        <v>189681.27791657203</v>
      </c>
      <c r="G36" s="94">
        <f>('Producción MG'!G37*1000000)/264.18</f>
        <v>177379.0597320009</v>
      </c>
      <c r="H36" s="94">
        <f>('Producción MG'!H37*1000000)/264.18</f>
        <v>179763.79741085623</v>
      </c>
      <c r="I36" s="94">
        <f>('Producción MG'!I37*1000000)/264.18</f>
        <v>0</v>
      </c>
      <c r="J36" s="94">
        <f>('Producción MG'!J37*1000000)/264.18</f>
        <v>0</v>
      </c>
      <c r="K36" s="94">
        <f>('Producción MG'!K37*1000000)/264.18</f>
        <v>0</v>
      </c>
      <c r="L36" s="94">
        <f>('Producción MG'!L37*1000000)/264.18</f>
        <v>0</v>
      </c>
      <c r="M36" s="94">
        <f>('Producción MG'!M37*1000000)/264.18</f>
        <v>0</v>
      </c>
      <c r="N36" s="94">
        <f>('Producción MG'!N37*1000000)/264.18</f>
        <v>0</v>
      </c>
      <c r="O36" s="95">
        <f t="shared" si="0"/>
        <v>87940.040881217341</v>
      </c>
    </row>
    <row r="37" spans="1:17">
      <c r="A37" s="115"/>
      <c r="B37" s="113" t="s">
        <v>159</v>
      </c>
      <c r="C37" s="113">
        <f>+SUM(C29:C36)</f>
        <v>15522302.975244151</v>
      </c>
      <c r="D37" s="113">
        <f>+SUM(D29:D36)</f>
        <v>14259962.904080551</v>
      </c>
      <c r="E37" s="113">
        <f t="shared" ref="E37:N37" si="1">+SUM(E29:E36)</f>
        <v>14977840.86607616</v>
      </c>
      <c r="F37" s="113">
        <f t="shared" si="1"/>
        <v>14186690.892573245</v>
      </c>
      <c r="G37" s="113">
        <f t="shared" si="1"/>
        <v>13946937.693996517</v>
      </c>
      <c r="H37" s="113">
        <f t="shared" si="1"/>
        <v>14073381.785146493</v>
      </c>
      <c r="I37" s="113">
        <f t="shared" si="1"/>
        <v>0</v>
      </c>
      <c r="J37" s="113">
        <f t="shared" si="1"/>
        <v>0</v>
      </c>
      <c r="K37" s="113">
        <f t="shared" si="1"/>
        <v>0</v>
      </c>
      <c r="L37" s="113">
        <f t="shared" si="1"/>
        <v>0</v>
      </c>
      <c r="M37" s="113">
        <f t="shared" si="1"/>
        <v>0</v>
      </c>
      <c r="N37" s="113">
        <f t="shared" si="1"/>
        <v>0</v>
      </c>
      <c r="O37" s="114">
        <f t="shared" si="0"/>
        <v>7247259.7597597586</v>
      </c>
      <c r="P37" t="s">
        <v>106</v>
      </c>
    </row>
    <row r="38" spans="1:17" s="105" customFormat="1" hidden="1">
      <c r="A38" s="102"/>
      <c r="B38" s="98" t="s">
        <v>160</v>
      </c>
      <c r="C38" s="103">
        <f>+'[2]produccion-MG'!C38/264</f>
        <v>48.871821969696967</v>
      </c>
      <c r="D38" s="103">
        <f>+'[2]produccion-MG'!D38/264</f>
        <v>44.367719696969694</v>
      </c>
      <c r="E38" s="103">
        <f>+'[2]produccion-MG'!E38/264</f>
        <v>50.151496136363633</v>
      </c>
      <c r="F38" s="103">
        <f>+'[2]produccion-MG'!F38/264</f>
        <v>47.952693181818177</v>
      </c>
      <c r="G38" s="103">
        <f>+'[2]produccion-MG'!G38/264</f>
        <v>49.681708333333333</v>
      </c>
      <c r="H38" s="103">
        <f>+'[2]produccion-MG'!H38/264</f>
        <v>48.403083333333335</v>
      </c>
      <c r="I38" s="103">
        <f>+'[2]produccion-MG'!I38/264</f>
        <v>49.966405303030307</v>
      </c>
      <c r="J38" s="103">
        <f>+'[2]produccion-MG'!J38/264</f>
        <v>50.41645075757576</v>
      </c>
      <c r="K38" s="103">
        <f>+'[2]produccion-MG'!K38/264</f>
        <v>48.509022727272729</v>
      </c>
      <c r="L38" s="103">
        <f>+'[2]produccion-MG'!L38/264</f>
        <v>50.60243560606061</v>
      </c>
      <c r="M38" s="103">
        <f>+'[2]produccion-MG'!M38/264</f>
        <v>49.021378787878788</v>
      </c>
      <c r="N38" s="103">
        <f>+'[2]produccion-MG'!N38/264</f>
        <v>52.011318181818183</v>
      </c>
      <c r="O38" s="104">
        <f>SUM(C38:N38)/12</f>
        <v>49.162961167929296</v>
      </c>
    </row>
    <row r="39" spans="1:17" ht="16.5" thickBot="1">
      <c r="A39" s="908" t="s">
        <v>161</v>
      </c>
      <c r="B39" s="908"/>
      <c r="C39" s="583">
        <f>SUM(C37+C28+C21+C16)</f>
        <v>53306783.253842071</v>
      </c>
      <c r="D39" s="510">
        <f>SUM(D37+D28+D21+D16)</f>
        <v>48386944.507532731</v>
      </c>
      <c r="E39" s="510">
        <f>SUM(E37+E28+E21+E16)</f>
        <v>51613823.90794155</v>
      </c>
      <c r="F39" s="510">
        <f t="shared" ref="F39:N39" si="2">SUM(F37+F28+F21+F16)</f>
        <v>49536123.097887807</v>
      </c>
      <c r="G39" s="510">
        <f t="shared" si="2"/>
        <v>50117927.170868345</v>
      </c>
      <c r="H39" s="510">
        <f>SUM(H37+H28+H21+H16)</f>
        <v>50319093.042622454</v>
      </c>
      <c r="I39" s="510">
        <f t="shared" si="2"/>
        <v>0</v>
      </c>
      <c r="J39" s="510">
        <f t="shared" si="2"/>
        <v>0</v>
      </c>
      <c r="K39" s="510">
        <f t="shared" si="2"/>
        <v>0</v>
      </c>
      <c r="L39" s="510">
        <f t="shared" si="2"/>
        <v>0</v>
      </c>
      <c r="M39" s="510">
        <f t="shared" si="2"/>
        <v>0</v>
      </c>
      <c r="N39" s="510">
        <f t="shared" si="2"/>
        <v>0</v>
      </c>
      <c r="O39" s="584">
        <f>SUM(O37+O28+O21+O16+O9)</f>
        <v>33550128.384687208</v>
      </c>
      <c r="P39" s="52">
        <f>SUM(L39:N39)</f>
        <v>0</v>
      </c>
      <c r="Q39" s="25"/>
    </row>
    <row r="40" spans="1:17" ht="16.5" thickTop="1">
      <c r="C40" t="s">
        <v>106</v>
      </c>
      <c r="D40" t="s">
        <v>106</v>
      </c>
      <c r="E40" s="5"/>
      <c r="H40" s="5"/>
      <c r="K40" s="5"/>
      <c r="N40" s="5"/>
    </row>
    <row r="41" spans="1:17" ht="16.5" thickBot="1">
      <c r="A41" t="s">
        <v>170</v>
      </c>
    </row>
    <row r="42" spans="1:17" ht="17.25" thickTop="1" thickBot="1">
      <c r="A42" s="909" t="s">
        <v>163</v>
      </c>
      <c r="B42" s="909"/>
      <c r="C42" s="106" t="s">
        <v>117</v>
      </c>
      <c r="D42" s="106" t="s">
        <v>118</v>
      </c>
      <c r="E42" s="106" t="s">
        <v>119</v>
      </c>
      <c r="F42" s="106" t="s">
        <v>120</v>
      </c>
      <c r="G42" s="106" t="s">
        <v>121</v>
      </c>
      <c r="H42" s="106" t="s">
        <v>122</v>
      </c>
      <c r="I42" s="106" t="s">
        <v>123</v>
      </c>
      <c r="J42" s="106" t="s">
        <v>124</v>
      </c>
      <c r="K42" s="106" t="s">
        <v>125</v>
      </c>
      <c r="L42" s="106" t="s">
        <v>126</v>
      </c>
      <c r="M42" s="106" t="s">
        <v>127</v>
      </c>
      <c r="N42" s="106" t="s">
        <v>128</v>
      </c>
      <c r="O42" s="107" t="s">
        <v>49</v>
      </c>
      <c r="P42" s="108"/>
    </row>
    <row r="43" spans="1:17" ht="16.5" thickTop="1">
      <c r="A43" s="910" t="s">
        <v>164</v>
      </c>
      <c r="B43" s="910"/>
      <c r="C43" s="109">
        <f>+C9+C13+C17</f>
        <v>23250889.545007192</v>
      </c>
      <c r="D43" s="109">
        <f t="shared" ref="D43:O43" si="3">+D9+D13+D17</f>
        <v>20830687.410099171</v>
      </c>
      <c r="E43" s="109">
        <f t="shared" si="3"/>
        <v>22150541.29760012</v>
      </c>
      <c r="F43" s="109">
        <f t="shared" si="3"/>
        <v>21257952.910894085</v>
      </c>
      <c r="G43" s="109">
        <f t="shared" si="3"/>
        <v>21976076.917253386</v>
      </c>
      <c r="H43" s="109">
        <f t="shared" si="3"/>
        <v>22260065.10712393</v>
      </c>
      <c r="I43" s="109">
        <f t="shared" si="3"/>
        <v>0</v>
      </c>
      <c r="J43" s="109">
        <f t="shared" si="3"/>
        <v>0</v>
      </c>
      <c r="K43" s="109">
        <f t="shared" si="3"/>
        <v>0</v>
      </c>
      <c r="L43" s="109">
        <f t="shared" si="3"/>
        <v>0</v>
      </c>
      <c r="M43" s="109">
        <f t="shared" si="3"/>
        <v>0</v>
      </c>
      <c r="N43" s="109">
        <f t="shared" si="3"/>
        <v>0</v>
      </c>
      <c r="O43" s="109">
        <f t="shared" si="3"/>
        <v>10977184.432331491</v>
      </c>
    </row>
    <row r="44" spans="1:17" ht="16.5" thickBot="1">
      <c r="A44" s="902" t="s">
        <v>165</v>
      </c>
      <c r="B44" s="902"/>
      <c r="C44" s="110">
        <f>+C39-C43</f>
        <v>30055893.708834879</v>
      </c>
      <c r="D44" s="110">
        <f t="shared" ref="D44:N44" si="4">+D39-D43</f>
        <v>27556257.09743356</v>
      </c>
      <c r="E44" s="110">
        <f t="shared" si="4"/>
        <v>29463282.61034143</v>
      </c>
      <c r="F44" s="110">
        <f t="shared" si="4"/>
        <v>28278170.186993722</v>
      </c>
      <c r="G44" s="110">
        <f t="shared" si="4"/>
        <v>28141850.253614958</v>
      </c>
      <c r="H44" s="110">
        <f t="shared" si="4"/>
        <v>28059027.935498524</v>
      </c>
      <c r="I44" s="110">
        <f t="shared" si="4"/>
        <v>0</v>
      </c>
      <c r="J44" s="110">
        <f t="shared" si="4"/>
        <v>0</v>
      </c>
      <c r="K44" s="110">
        <f t="shared" si="4"/>
        <v>0</v>
      </c>
      <c r="L44" s="110">
        <f t="shared" si="4"/>
        <v>0</v>
      </c>
      <c r="M44" s="110">
        <f t="shared" si="4"/>
        <v>0</v>
      </c>
      <c r="N44" s="110">
        <f t="shared" si="4"/>
        <v>0</v>
      </c>
      <c r="O44" s="111">
        <f>SUM(C44:N44)/12</f>
        <v>14296206.816059755</v>
      </c>
    </row>
    <row r="45" spans="1:17" ht="16.5" thickTop="1">
      <c r="O45" t="s">
        <v>106</v>
      </c>
    </row>
    <row r="46" spans="1:17">
      <c r="A46" t="s">
        <v>171</v>
      </c>
    </row>
    <row r="47" spans="1:17">
      <c r="D47" t="s">
        <v>106</v>
      </c>
    </row>
    <row r="48" spans="1:17">
      <c r="B48" t="s">
        <v>172</v>
      </c>
      <c r="C48" t="s">
        <v>173</v>
      </c>
      <c r="E48" s="112" t="s">
        <v>174</v>
      </c>
      <c r="F48" s="112" t="s">
        <v>175</v>
      </c>
      <c r="G48" t="s">
        <v>176</v>
      </c>
      <c r="H48" s="112" t="s">
        <v>177</v>
      </c>
      <c r="I48" t="s">
        <v>176</v>
      </c>
      <c r="J48" t="s">
        <v>178</v>
      </c>
    </row>
    <row r="49" spans="1:11">
      <c r="B49" t="s">
        <v>179</v>
      </c>
      <c r="C49" t="s">
        <v>180</v>
      </c>
      <c r="D49" t="s">
        <v>176</v>
      </c>
      <c r="E49" t="s">
        <v>181</v>
      </c>
      <c r="H49">
        <v>1000</v>
      </c>
      <c r="J49">
        <v>3.7850000000000002E-3</v>
      </c>
      <c r="K49" s="52"/>
    </row>
    <row r="50" spans="1:11">
      <c r="J50">
        <v>22.87</v>
      </c>
    </row>
    <row r="51" spans="1:11">
      <c r="C51" t="s">
        <v>106</v>
      </c>
      <c r="J51">
        <v>177.51770878880629</v>
      </c>
    </row>
    <row r="54" spans="1:11">
      <c r="C54" t="s">
        <v>257</v>
      </c>
    </row>
    <row r="55" spans="1:11">
      <c r="A55" t="s">
        <v>258</v>
      </c>
      <c r="C55" t="s">
        <v>213</v>
      </c>
      <c r="D55" t="s">
        <v>259</v>
      </c>
      <c r="E55" t="s">
        <v>211</v>
      </c>
      <c r="F55" t="s">
        <v>619</v>
      </c>
      <c r="G55" t="s">
        <v>260</v>
      </c>
    </row>
    <row r="56" spans="1:11">
      <c r="C56" s="570">
        <v>0.01</v>
      </c>
      <c r="D56" s="570">
        <v>0</v>
      </c>
      <c r="E56" s="570">
        <v>0.45</v>
      </c>
      <c r="F56">
        <v>0.54</v>
      </c>
      <c r="G56" s="570">
        <v>1</v>
      </c>
    </row>
    <row r="57" spans="1:11">
      <c r="A57" t="s">
        <v>117</v>
      </c>
      <c r="C57" s="296">
        <f>+$C$9*C$56</f>
        <v>172935.00643500645</v>
      </c>
      <c r="D57" s="296">
        <f>+$C$9*D$56</f>
        <v>0</v>
      </c>
      <c r="E57" s="296">
        <f>+$C$9*E$56</f>
        <v>7782075.2895752899</v>
      </c>
      <c r="F57" s="296">
        <f>+$C$9*F$56</f>
        <v>9338490.3474903479</v>
      </c>
      <c r="G57" s="850">
        <f>SUM(C57:F57)</f>
        <v>17293500.643500645</v>
      </c>
    </row>
    <row r="58" spans="1:11">
      <c r="A58" t="s">
        <v>118</v>
      </c>
      <c r="C58" s="296">
        <f>+$D$9*C$56</f>
        <v>154106.82110682109</v>
      </c>
      <c r="D58" s="296">
        <f>+$D$9*D$56</f>
        <v>0</v>
      </c>
      <c r="E58" s="296">
        <f>+$D$9*E$56</f>
        <v>6934806.9498069491</v>
      </c>
      <c r="F58" s="296">
        <f>+$D$9*F$56</f>
        <v>8321768.3397683399</v>
      </c>
      <c r="G58" s="850">
        <f t="shared" ref="G58:G62" si="5">SUM(C58:F58)</f>
        <v>15410682.110682111</v>
      </c>
    </row>
    <row r="59" spans="1:11">
      <c r="A59" t="s">
        <v>119</v>
      </c>
      <c r="C59" s="296">
        <f>+$E$9*C$56</f>
        <v>168165.19040048451</v>
      </c>
      <c r="D59" s="296">
        <f>+$E$9*D$56</f>
        <v>0</v>
      </c>
      <c r="E59" s="296">
        <f>+$E$9*E$56</f>
        <v>7567433.5680218032</v>
      </c>
      <c r="F59" s="296">
        <f>+$E$9*F$56</f>
        <v>9080920.2816261631</v>
      </c>
      <c r="G59" s="850">
        <f t="shared" si="5"/>
        <v>16816519.04004845</v>
      </c>
    </row>
    <row r="60" spans="1:11">
      <c r="A60" t="s">
        <v>120</v>
      </c>
      <c r="C60" s="296">
        <f>+$F$9*C$56</f>
        <v>160276.21318797788</v>
      </c>
      <c r="D60" t="s">
        <v>620</v>
      </c>
      <c r="E60" s="296">
        <f>+$F$9*E$56</f>
        <v>7212429.5934590045</v>
      </c>
      <c r="F60" s="296">
        <f>+$F$9*F$56</f>
        <v>8654915.5121508054</v>
      </c>
      <c r="G60" s="850">
        <f t="shared" si="5"/>
        <v>16027621.318797788</v>
      </c>
    </row>
    <row r="61" spans="1:11">
      <c r="A61" t="s">
        <v>121</v>
      </c>
      <c r="C61" s="296">
        <f>+$G$9*C$56</f>
        <v>169119.2747369218</v>
      </c>
      <c r="D61" t="s">
        <v>620</v>
      </c>
      <c r="E61" s="296">
        <f>+$G$9*E$56</f>
        <v>7610367.363161481</v>
      </c>
      <c r="F61" s="296">
        <f>+$G$9*F$56</f>
        <v>9132440.8357937764</v>
      </c>
      <c r="G61" s="850">
        <f t="shared" si="5"/>
        <v>16911927.473692179</v>
      </c>
    </row>
    <row r="62" spans="1:11">
      <c r="A62" t="s">
        <v>122</v>
      </c>
      <c r="C62" s="296">
        <f>+$H$9*C$56</f>
        <v>168605.95048830341</v>
      </c>
      <c r="D62" t="s">
        <v>620</v>
      </c>
      <c r="E62" s="296">
        <f>+$H$9*E$56</f>
        <v>7587267.7719736537</v>
      </c>
      <c r="F62" s="296">
        <f>+$H$9*F$56</f>
        <v>9104721.3263683859</v>
      </c>
      <c r="G62" s="850">
        <f t="shared" si="5"/>
        <v>16860595.048830345</v>
      </c>
    </row>
    <row r="63" spans="1:11">
      <c r="A63" t="s">
        <v>123</v>
      </c>
      <c r="C63" t="s">
        <v>620</v>
      </c>
      <c r="D63" t="s">
        <v>620</v>
      </c>
      <c r="E63" t="s">
        <v>620</v>
      </c>
      <c r="F63" t="s">
        <v>620</v>
      </c>
      <c r="G63" t="s">
        <v>620</v>
      </c>
      <c r="I63" s="4"/>
      <c r="J63" s="4"/>
      <c r="K63" s="4"/>
    </row>
    <row r="64" spans="1:11">
      <c r="A64" t="s">
        <v>124</v>
      </c>
      <c r="C64" t="s">
        <v>620</v>
      </c>
      <c r="D64" t="s">
        <v>620</v>
      </c>
      <c r="E64" t="s">
        <v>620</v>
      </c>
      <c r="F64" t="s">
        <v>620</v>
      </c>
      <c r="G64" t="s">
        <v>620</v>
      </c>
      <c r="I64" s="4"/>
      <c r="J64" s="4"/>
      <c r="K64" s="4"/>
    </row>
    <row r="65" spans="1:12">
      <c r="A65" t="s">
        <v>125</v>
      </c>
      <c r="C65" t="s">
        <v>620</v>
      </c>
      <c r="D65" t="s">
        <v>620</v>
      </c>
      <c r="E65" t="s">
        <v>620</v>
      </c>
      <c r="F65" t="s">
        <v>620</v>
      </c>
      <c r="G65" t="s">
        <v>620</v>
      </c>
      <c r="I65" s="4"/>
      <c r="J65" s="4"/>
      <c r="K65" s="4"/>
    </row>
    <row r="66" spans="1:12">
      <c r="A66" t="s">
        <v>126</v>
      </c>
      <c r="C66" t="s">
        <v>620</v>
      </c>
      <c r="D66" t="s">
        <v>620</v>
      </c>
      <c r="E66" t="s">
        <v>620</v>
      </c>
      <c r="F66" t="s">
        <v>620</v>
      </c>
      <c r="G66" t="s">
        <v>620</v>
      </c>
    </row>
    <row r="67" spans="1:12">
      <c r="A67" t="s">
        <v>127</v>
      </c>
      <c r="C67" t="s">
        <v>620</v>
      </c>
      <c r="D67" t="s">
        <v>620</v>
      </c>
      <c r="E67" t="s">
        <v>620</v>
      </c>
      <c r="F67" t="s">
        <v>620</v>
      </c>
      <c r="G67" t="s">
        <v>620</v>
      </c>
      <c r="I67" s="4"/>
      <c r="J67" s="4"/>
      <c r="K67" s="4"/>
      <c r="L67" s="4"/>
    </row>
    <row r="68" spans="1:12">
      <c r="A68" t="s">
        <v>128</v>
      </c>
      <c r="C68">
        <v>0</v>
      </c>
      <c r="D68">
        <v>0</v>
      </c>
      <c r="E68">
        <v>0</v>
      </c>
      <c r="F68" t="s">
        <v>620</v>
      </c>
      <c r="G68" t="s">
        <v>620</v>
      </c>
      <c r="L68" s="4"/>
    </row>
  </sheetData>
  <mergeCells count="12">
    <mergeCell ref="A44:B44"/>
    <mergeCell ref="A1:O1"/>
    <mergeCell ref="A2:O2"/>
    <mergeCell ref="A4:O4"/>
    <mergeCell ref="A5:O5"/>
    <mergeCell ref="A8:B8"/>
    <mergeCell ref="A11:A12"/>
    <mergeCell ref="A22:A27"/>
    <mergeCell ref="A30:A35"/>
    <mergeCell ref="A39:B39"/>
    <mergeCell ref="A42:B42"/>
    <mergeCell ref="A43:B43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54CF0-377B-4D30-8128-BA53A5F8F437}">
  <sheetPr codeName="Hoja13">
    <tabColor rgb="FFFFFF00"/>
  </sheetPr>
  <dimension ref="A1:T154"/>
  <sheetViews>
    <sheetView topLeftCell="A8" zoomScale="90" zoomScaleNormal="90" workbookViewId="0">
      <selection activeCell="G14" sqref="G14"/>
    </sheetView>
  </sheetViews>
  <sheetFormatPr baseColWidth="10" defaultColWidth="8.25" defaultRowHeight="15.75"/>
  <cols>
    <col min="1" max="1" width="42.875" bestFit="1" customWidth="1"/>
    <col min="2" max="2" width="20.5" bestFit="1" customWidth="1"/>
    <col min="3" max="3" width="11.125" bestFit="1" customWidth="1"/>
    <col min="4" max="4" width="14.625" bestFit="1" customWidth="1"/>
    <col min="5" max="5" width="17.25" style="117" bestFit="1" customWidth="1"/>
    <col min="6" max="6" width="21.875" style="117" bestFit="1" customWidth="1"/>
    <col min="7" max="7" width="13.625" bestFit="1" customWidth="1"/>
    <col min="8" max="8" width="11.125" bestFit="1" customWidth="1"/>
    <col min="9" max="9" width="13.625" style="121" bestFit="1" customWidth="1"/>
    <col min="10" max="10" width="17.25" style="118" bestFit="1" customWidth="1"/>
    <col min="11" max="11" width="18.25" style="118" bestFit="1" customWidth="1"/>
    <col min="12" max="12" width="13.75" style="118" bestFit="1" customWidth="1"/>
    <col min="13" max="13" width="11.625" style="118" bestFit="1" customWidth="1"/>
    <col min="14" max="14" width="11.125" bestFit="1" customWidth="1"/>
    <col min="15" max="15" width="13.625" bestFit="1" customWidth="1"/>
    <col min="16" max="17" width="18.25" bestFit="1" customWidth="1"/>
    <col min="18" max="18" width="17.25" bestFit="1" customWidth="1"/>
    <col min="19" max="19" width="5.625" bestFit="1" customWidth="1"/>
    <col min="29" max="29" width="7.5" customWidth="1"/>
    <col min="257" max="257" width="13.125" customWidth="1"/>
    <col min="258" max="258" width="22.375" customWidth="1"/>
    <col min="259" max="259" width="14" customWidth="1"/>
    <col min="260" max="260" width="12.75" customWidth="1"/>
    <col min="261" max="261" width="15.875" bestFit="1" customWidth="1"/>
    <col min="262" max="263" width="13.5" customWidth="1"/>
    <col min="264" max="264" width="14.25" bestFit="1" customWidth="1"/>
    <col min="265" max="265" width="16.125" customWidth="1"/>
    <col min="266" max="266" width="15.375" customWidth="1"/>
    <col min="267" max="267" width="16.25" customWidth="1"/>
    <col min="268" max="268" width="14.25" bestFit="1" customWidth="1"/>
    <col min="269" max="269" width="15.125" customWidth="1"/>
    <col min="270" max="270" width="13.875" bestFit="1" customWidth="1"/>
    <col min="271" max="271" width="14.125" bestFit="1" customWidth="1"/>
    <col min="272" max="272" width="17.5" customWidth="1"/>
    <col min="273" max="273" width="18.75" customWidth="1"/>
    <col min="274" max="274" width="22" customWidth="1"/>
    <col min="275" max="275" width="19.625" customWidth="1"/>
    <col min="285" max="285" width="7.5" customWidth="1"/>
    <col min="513" max="513" width="13.125" customWidth="1"/>
    <col min="514" max="514" width="22.375" customWidth="1"/>
    <col min="515" max="515" width="14" customWidth="1"/>
    <col min="516" max="516" width="12.75" customWidth="1"/>
    <col min="517" max="517" width="15.875" bestFit="1" customWidth="1"/>
    <col min="518" max="519" width="13.5" customWidth="1"/>
    <col min="520" max="520" width="14.25" bestFit="1" customWidth="1"/>
    <col min="521" max="521" width="16.125" customWidth="1"/>
    <col min="522" max="522" width="15.375" customWidth="1"/>
    <col min="523" max="523" width="16.25" customWidth="1"/>
    <col min="524" max="524" width="14.25" bestFit="1" customWidth="1"/>
    <col min="525" max="525" width="15.125" customWidth="1"/>
    <col min="526" max="526" width="13.875" bestFit="1" customWidth="1"/>
    <col min="527" max="527" width="14.125" bestFit="1" customWidth="1"/>
    <col min="528" max="528" width="17.5" customWidth="1"/>
    <col min="529" max="529" width="18.75" customWidth="1"/>
    <col min="530" max="530" width="22" customWidth="1"/>
    <col min="531" max="531" width="19.625" customWidth="1"/>
    <col min="541" max="541" width="7.5" customWidth="1"/>
    <col min="769" max="769" width="13.125" customWidth="1"/>
    <col min="770" max="770" width="22.375" customWidth="1"/>
    <col min="771" max="771" width="14" customWidth="1"/>
    <col min="772" max="772" width="12.75" customWidth="1"/>
    <col min="773" max="773" width="15.875" bestFit="1" customWidth="1"/>
    <col min="774" max="775" width="13.5" customWidth="1"/>
    <col min="776" max="776" width="14.25" bestFit="1" customWidth="1"/>
    <col min="777" max="777" width="16.125" customWidth="1"/>
    <col min="778" max="778" width="15.375" customWidth="1"/>
    <col min="779" max="779" width="16.25" customWidth="1"/>
    <col min="780" max="780" width="14.25" bestFit="1" customWidth="1"/>
    <col min="781" max="781" width="15.125" customWidth="1"/>
    <col min="782" max="782" width="13.875" bestFit="1" customWidth="1"/>
    <col min="783" max="783" width="14.125" bestFit="1" customWidth="1"/>
    <col min="784" max="784" width="17.5" customWidth="1"/>
    <col min="785" max="785" width="18.75" customWidth="1"/>
    <col min="786" max="786" width="22" customWidth="1"/>
    <col min="787" max="787" width="19.625" customWidth="1"/>
    <col min="797" max="797" width="7.5" customWidth="1"/>
    <col min="1025" max="1025" width="13.125" customWidth="1"/>
    <col min="1026" max="1026" width="22.375" customWidth="1"/>
    <col min="1027" max="1027" width="14" customWidth="1"/>
    <col min="1028" max="1028" width="12.75" customWidth="1"/>
    <col min="1029" max="1029" width="15.875" bestFit="1" customWidth="1"/>
    <col min="1030" max="1031" width="13.5" customWidth="1"/>
    <col min="1032" max="1032" width="14.25" bestFit="1" customWidth="1"/>
    <col min="1033" max="1033" width="16.125" customWidth="1"/>
    <col min="1034" max="1034" width="15.375" customWidth="1"/>
    <col min="1035" max="1035" width="16.25" customWidth="1"/>
    <col min="1036" max="1036" width="14.25" bestFit="1" customWidth="1"/>
    <col min="1037" max="1037" width="15.125" customWidth="1"/>
    <col min="1038" max="1038" width="13.875" bestFit="1" customWidth="1"/>
    <col min="1039" max="1039" width="14.125" bestFit="1" customWidth="1"/>
    <col min="1040" max="1040" width="17.5" customWidth="1"/>
    <col min="1041" max="1041" width="18.75" customWidth="1"/>
    <col min="1042" max="1042" width="22" customWidth="1"/>
    <col min="1043" max="1043" width="19.625" customWidth="1"/>
    <col min="1053" max="1053" width="7.5" customWidth="1"/>
    <col min="1281" max="1281" width="13.125" customWidth="1"/>
    <col min="1282" max="1282" width="22.375" customWidth="1"/>
    <col min="1283" max="1283" width="14" customWidth="1"/>
    <col min="1284" max="1284" width="12.75" customWidth="1"/>
    <col min="1285" max="1285" width="15.875" bestFit="1" customWidth="1"/>
    <col min="1286" max="1287" width="13.5" customWidth="1"/>
    <col min="1288" max="1288" width="14.25" bestFit="1" customWidth="1"/>
    <col min="1289" max="1289" width="16.125" customWidth="1"/>
    <col min="1290" max="1290" width="15.375" customWidth="1"/>
    <col min="1291" max="1291" width="16.25" customWidth="1"/>
    <col min="1292" max="1292" width="14.25" bestFit="1" customWidth="1"/>
    <col min="1293" max="1293" width="15.125" customWidth="1"/>
    <col min="1294" max="1294" width="13.875" bestFit="1" customWidth="1"/>
    <col min="1295" max="1295" width="14.125" bestFit="1" customWidth="1"/>
    <col min="1296" max="1296" width="17.5" customWidth="1"/>
    <col min="1297" max="1297" width="18.75" customWidth="1"/>
    <col min="1298" max="1298" width="22" customWidth="1"/>
    <col min="1299" max="1299" width="19.625" customWidth="1"/>
    <col min="1309" max="1309" width="7.5" customWidth="1"/>
    <col min="1537" max="1537" width="13.125" customWidth="1"/>
    <col min="1538" max="1538" width="22.375" customWidth="1"/>
    <col min="1539" max="1539" width="14" customWidth="1"/>
    <col min="1540" max="1540" width="12.75" customWidth="1"/>
    <col min="1541" max="1541" width="15.875" bestFit="1" customWidth="1"/>
    <col min="1542" max="1543" width="13.5" customWidth="1"/>
    <col min="1544" max="1544" width="14.25" bestFit="1" customWidth="1"/>
    <col min="1545" max="1545" width="16.125" customWidth="1"/>
    <col min="1546" max="1546" width="15.375" customWidth="1"/>
    <col min="1547" max="1547" width="16.25" customWidth="1"/>
    <col min="1548" max="1548" width="14.25" bestFit="1" customWidth="1"/>
    <col min="1549" max="1549" width="15.125" customWidth="1"/>
    <col min="1550" max="1550" width="13.875" bestFit="1" customWidth="1"/>
    <col min="1551" max="1551" width="14.125" bestFit="1" customWidth="1"/>
    <col min="1552" max="1552" width="17.5" customWidth="1"/>
    <col min="1553" max="1553" width="18.75" customWidth="1"/>
    <col min="1554" max="1554" width="22" customWidth="1"/>
    <col min="1555" max="1555" width="19.625" customWidth="1"/>
    <col min="1565" max="1565" width="7.5" customWidth="1"/>
    <col min="1793" max="1793" width="13.125" customWidth="1"/>
    <col min="1794" max="1794" width="22.375" customWidth="1"/>
    <col min="1795" max="1795" width="14" customWidth="1"/>
    <col min="1796" max="1796" width="12.75" customWidth="1"/>
    <col min="1797" max="1797" width="15.875" bestFit="1" customWidth="1"/>
    <col min="1798" max="1799" width="13.5" customWidth="1"/>
    <col min="1800" max="1800" width="14.25" bestFit="1" customWidth="1"/>
    <col min="1801" max="1801" width="16.125" customWidth="1"/>
    <col min="1802" max="1802" width="15.375" customWidth="1"/>
    <col min="1803" max="1803" width="16.25" customWidth="1"/>
    <col min="1804" max="1804" width="14.25" bestFit="1" customWidth="1"/>
    <col min="1805" max="1805" width="15.125" customWidth="1"/>
    <col min="1806" max="1806" width="13.875" bestFit="1" customWidth="1"/>
    <col min="1807" max="1807" width="14.125" bestFit="1" customWidth="1"/>
    <col min="1808" max="1808" width="17.5" customWidth="1"/>
    <col min="1809" max="1809" width="18.75" customWidth="1"/>
    <col min="1810" max="1810" width="22" customWidth="1"/>
    <col min="1811" max="1811" width="19.625" customWidth="1"/>
    <col min="1821" max="1821" width="7.5" customWidth="1"/>
    <col min="2049" max="2049" width="13.125" customWidth="1"/>
    <col min="2050" max="2050" width="22.375" customWidth="1"/>
    <col min="2051" max="2051" width="14" customWidth="1"/>
    <col min="2052" max="2052" width="12.75" customWidth="1"/>
    <col min="2053" max="2053" width="15.875" bestFit="1" customWidth="1"/>
    <col min="2054" max="2055" width="13.5" customWidth="1"/>
    <col min="2056" max="2056" width="14.25" bestFit="1" customWidth="1"/>
    <col min="2057" max="2057" width="16.125" customWidth="1"/>
    <col min="2058" max="2058" width="15.375" customWidth="1"/>
    <col min="2059" max="2059" width="16.25" customWidth="1"/>
    <col min="2060" max="2060" width="14.25" bestFit="1" customWidth="1"/>
    <col min="2061" max="2061" width="15.125" customWidth="1"/>
    <col min="2062" max="2062" width="13.875" bestFit="1" customWidth="1"/>
    <col min="2063" max="2063" width="14.125" bestFit="1" customWidth="1"/>
    <col min="2064" max="2064" width="17.5" customWidth="1"/>
    <col min="2065" max="2065" width="18.75" customWidth="1"/>
    <col min="2066" max="2066" width="22" customWidth="1"/>
    <col min="2067" max="2067" width="19.625" customWidth="1"/>
    <col min="2077" max="2077" width="7.5" customWidth="1"/>
    <col min="2305" max="2305" width="13.125" customWidth="1"/>
    <col min="2306" max="2306" width="22.375" customWidth="1"/>
    <col min="2307" max="2307" width="14" customWidth="1"/>
    <col min="2308" max="2308" width="12.75" customWidth="1"/>
    <col min="2309" max="2309" width="15.875" bestFit="1" customWidth="1"/>
    <col min="2310" max="2311" width="13.5" customWidth="1"/>
    <col min="2312" max="2312" width="14.25" bestFit="1" customWidth="1"/>
    <col min="2313" max="2313" width="16.125" customWidth="1"/>
    <col min="2314" max="2314" width="15.375" customWidth="1"/>
    <col min="2315" max="2315" width="16.25" customWidth="1"/>
    <col min="2316" max="2316" width="14.25" bestFit="1" customWidth="1"/>
    <col min="2317" max="2317" width="15.125" customWidth="1"/>
    <col min="2318" max="2318" width="13.875" bestFit="1" customWidth="1"/>
    <col min="2319" max="2319" width="14.125" bestFit="1" customWidth="1"/>
    <col min="2320" max="2320" width="17.5" customWidth="1"/>
    <col min="2321" max="2321" width="18.75" customWidth="1"/>
    <col min="2322" max="2322" width="22" customWidth="1"/>
    <col min="2323" max="2323" width="19.625" customWidth="1"/>
    <col min="2333" max="2333" width="7.5" customWidth="1"/>
    <col min="2561" max="2561" width="13.125" customWidth="1"/>
    <col min="2562" max="2562" width="22.375" customWidth="1"/>
    <col min="2563" max="2563" width="14" customWidth="1"/>
    <col min="2564" max="2564" width="12.75" customWidth="1"/>
    <col min="2565" max="2565" width="15.875" bestFit="1" customWidth="1"/>
    <col min="2566" max="2567" width="13.5" customWidth="1"/>
    <col min="2568" max="2568" width="14.25" bestFit="1" customWidth="1"/>
    <col min="2569" max="2569" width="16.125" customWidth="1"/>
    <col min="2570" max="2570" width="15.375" customWidth="1"/>
    <col min="2571" max="2571" width="16.25" customWidth="1"/>
    <col min="2572" max="2572" width="14.25" bestFit="1" customWidth="1"/>
    <col min="2573" max="2573" width="15.125" customWidth="1"/>
    <col min="2574" max="2574" width="13.875" bestFit="1" customWidth="1"/>
    <col min="2575" max="2575" width="14.125" bestFit="1" customWidth="1"/>
    <col min="2576" max="2576" width="17.5" customWidth="1"/>
    <col min="2577" max="2577" width="18.75" customWidth="1"/>
    <col min="2578" max="2578" width="22" customWidth="1"/>
    <col min="2579" max="2579" width="19.625" customWidth="1"/>
    <col min="2589" max="2589" width="7.5" customWidth="1"/>
    <col min="2817" max="2817" width="13.125" customWidth="1"/>
    <col min="2818" max="2818" width="22.375" customWidth="1"/>
    <col min="2819" max="2819" width="14" customWidth="1"/>
    <col min="2820" max="2820" width="12.75" customWidth="1"/>
    <col min="2821" max="2821" width="15.875" bestFit="1" customWidth="1"/>
    <col min="2822" max="2823" width="13.5" customWidth="1"/>
    <col min="2824" max="2824" width="14.25" bestFit="1" customWidth="1"/>
    <col min="2825" max="2825" width="16.125" customWidth="1"/>
    <col min="2826" max="2826" width="15.375" customWidth="1"/>
    <col min="2827" max="2827" width="16.25" customWidth="1"/>
    <col min="2828" max="2828" width="14.25" bestFit="1" customWidth="1"/>
    <col min="2829" max="2829" width="15.125" customWidth="1"/>
    <col min="2830" max="2830" width="13.875" bestFit="1" customWidth="1"/>
    <col min="2831" max="2831" width="14.125" bestFit="1" customWidth="1"/>
    <col min="2832" max="2832" width="17.5" customWidth="1"/>
    <col min="2833" max="2833" width="18.75" customWidth="1"/>
    <col min="2834" max="2834" width="22" customWidth="1"/>
    <col min="2835" max="2835" width="19.625" customWidth="1"/>
    <col min="2845" max="2845" width="7.5" customWidth="1"/>
    <col min="3073" max="3073" width="13.125" customWidth="1"/>
    <col min="3074" max="3074" width="22.375" customWidth="1"/>
    <col min="3075" max="3075" width="14" customWidth="1"/>
    <col min="3076" max="3076" width="12.75" customWidth="1"/>
    <col min="3077" max="3077" width="15.875" bestFit="1" customWidth="1"/>
    <col min="3078" max="3079" width="13.5" customWidth="1"/>
    <col min="3080" max="3080" width="14.25" bestFit="1" customWidth="1"/>
    <col min="3081" max="3081" width="16.125" customWidth="1"/>
    <col min="3082" max="3082" width="15.375" customWidth="1"/>
    <col min="3083" max="3083" width="16.25" customWidth="1"/>
    <col min="3084" max="3084" width="14.25" bestFit="1" customWidth="1"/>
    <col min="3085" max="3085" width="15.125" customWidth="1"/>
    <col min="3086" max="3086" width="13.875" bestFit="1" customWidth="1"/>
    <col min="3087" max="3087" width="14.125" bestFit="1" customWidth="1"/>
    <col min="3088" max="3088" width="17.5" customWidth="1"/>
    <col min="3089" max="3089" width="18.75" customWidth="1"/>
    <col min="3090" max="3090" width="22" customWidth="1"/>
    <col min="3091" max="3091" width="19.625" customWidth="1"/>
    <col min="3101" max="3101" width="7.5" customWidth="1"/>
    <col min="3329" max="3329" width="13.125" customWidth="1"/>
    <col min="3330" max="3330" width="22.375" customWidth="1"/>
    <col min="3331" max="3331" width="14" customWidth="1"/>
    <col min="3332" max="3332" width="12.75" customWidth="1"/>
    <col min="3333" max="3333" width="15.875" bestFit="1" customWidth="1"/>
    <col min="3334" max="3335" width="13.5" customWidth="1"/>
    <col min="3336" max="3336" width="14.25" bestFit="1" customWidth="1"/>
    <col min="3337" max="3337" width="16.125" customWidth="1"/>
    <col min="3338" max="3338" width="15.375" customWidth="1"/>
    <col min="3339" max="3339" width="16.25" customWidth="1"/>
    <col min="3340" max="3340" width="14.25" bestFit="1" customWidth="1"/>
    <col min="3341" max="3341" width="15.125" customWidth="1"/>
    <col min="3342" max="3342" width="13.875" bestFit="1" customWidth="1"/>
    <col min="3343" max="3343" width="14.125" bestFit="1" customWidth="1"/>
    <col min="3344" max="3344" width="17.5" customWidth="1"/>
    <col min="3345" max="3345" width="18.75" customWidth="1"/>
    <col min="3346" max="3346" width="22" customWidth="1"/>
    <col min="3347" max="3347" width="19.625" customWidth="1"/>
    <col min="3357" max="3357" width="7.5" customWidth="1"/>
    <col min="3585" max="3585" width="13.125" customWidth="1"/>
    <col min="3586" max="3586" width="22.375" customWidth="1"/>
    <col min="3587" max="3587" width="14" customWidth="1"/>
    <col min="3588" max="3588" width="12.75" customWidth="1"/>
    <col min="3589" max="3589" width="15.875" bestFit="1" customWidth="1"/>
    <col min="3590" max="3591" width="13.5" customWidth="1"/>
    <col min="3592" max="3592" width="14.25" bestFit="1" customWidth="1"/>
    <col min="3593" max="3593" width="16.125" customWidth="1"/>
    <col min="3594" max="3594" width="15.375" customWidth="1"/>
    <col min="3595" max="3595" width="16.25" customWidth="1"/>
    <col min="3596" max="3596" width="14.25" bestFit="1" customWidth="1"/>
    <col min="3597" max="3597" width="15.125" customWidth="1"/>
    <col min="3598" max="3598" width="13.875" bestFit="1" customWidth="1"/>
    <col min="3599" max="3599" width="14.125" bestFit="1" customWidth="1"/>
    <col min="3600" max="3600" width="17.5" customWidth="1"/>
    <col min="3601" max="3601" width="18.75" customWidth="1"/>
    <col min="3602" max="3602" width="22" customWidth="1"/>
    <col min="3603" max="3603" width="19.625" customWidth="1"/>
    <col min="3613" max="3613" width="7.5" customWidth="1"/>
    <col min="3841" max="3841" width="13.125" customWidth="1"/>
    <col min="3842" max="3842" width="22.375" customWidth="1"/>
    <col min="3843" max="3843" width="14" customWidth="1"/>
    <col min="3844" max="3844" width="12.75" customWidth="1"/>
    <col min="3845" max="3845" width="15.875" bestFit="1" customWidth="1"/>
    <col min="3846" max="3847" width="13.5" customWidth="1"/>
    <col min="3848" max="3848" width="14.25" bestFit="1" customWidth="1"/>
    <col min="3849" max="3849" width="16.125" customWidth="1"/>
    <col min="3850" max="3850" width="15.375" customWidth="1"/>
    <col min="3851" max="3851" width="16.25" customWidth="1"/>
    <col min="3852" max="3852" width="14.25" bestFit="1" customWidth="1"/>
    <col min="3853" max="3853" width="15.125" customWidth="1"/>
    <col min="3854" max="3854" width="13.875" bestFit="1" customWidth="1"/>
    <col min="3855" max="3855" width="14.125" bestFit="1" customWidth="1"/>
    <col min="3856" max="3856" width="17.5" customWidth="1"/>
    <col min="3857" max="3857" width="18.75" customWidth="1"/>
    <col min="3858" max="3858" width="22" customWidth="1"/>
    <col min="3859" max="3859" width="19.625" customWidth="1"/>
    <col min="3869" max="3869" width="7.5" customWidth="1"/>
    <col min="4097" max="4097" width="13.125" customWidth="1"/>
    <col min="4098" max="4098" width="22.375" customWidth="1"/>
    <col min="4099" max="4099" width="14" customWidth="1"/>
    <col min="4100" max="4100" width="12.75" customWidth="1"/>
    <col min="4101" max="4101" width="15.875" bestFit="1" customWidth="1"/>
    <col min="4102" max="4103" width="13.5" customWidth="1"/>
    <col min="4104" max="4104" width="14.25" bestFit="1" customWidth="1"/>
    <col min="4105" max="4105" width="16.125" customWidth="1"/>
    <col min="4106" max="4106" width="15.375" customWidth="1"/>
    <col min="4107" max="4107" width="16.25" customWidth="1"/>
    <col min="4108" max="4108" width="14.25" bestFit="1" customWidth="1"/>
    <col min="4109" max="4109" width="15.125" customWidth="1"/>
    <col min="4110" max="4110" width="13.875" bestFit="1" customWidth="1"/>
    <col min="4111" max="4111" width="14.125" bestFit="1" customWidth="1"/>
    <col min="4112" max="4112" width="17.5" customWidth="1"/>
    <col min="4113" max="4113" width="18.75" customWidth="1"/>
    <col min="4114" max="4114" width="22" customWidth="1"/>
    <col min="4115" max="4115" width="19.625" customWidth="1"/>
    <col min="4125" max="4125" width="7.5" customWidth="1"/>
    <col min="4353" max="4353" width="13.125" customWidth="1"/>
    <col min="4354" max="4354" width="22.375" customWidth="1"/>
    <col min="4355" max="4355" width="14" customWidth="1"/>
    <col min="4356" max="4356" width="12.75" customWidth="1"/>
    <col min="4357" max="4357" width="15.875" bestFit="1" customWidth="1"/>
    <col min="4358" max="4359" width="13.5" customWidth="1"/>
    <col min="4360" max="4360" width="14.25" bestFit="1" customWidth="1"/>
    <col min="4361" max="4361" width="16.125" customWidth="1"/>
    <col min="4362" max="4362" width="15.375" customWidth="1"/>
    <col min="4363" max="4363" width="16.25" customWidth="1"/>
    <col min="4364" max="4364" width="14.25" bestFit="1" customWidth="1"/>
    <col min="4365" max="4365" width="15.125" customWidth="1"/>
    <col min="4366" max="4366" width="13.875" bestFit="1" customWidth="1"/>
    <col min="4367" max="4367" width="14.125" bestFit="1" customWidth="1"/>
    <col min="4368" max="4368" width="17.5" customWidth="1"/>
    <col min="4369" max="4369" width="18.75" customWidth="1"/>
    <col min="4370" max="4370" width="22" customWidth="1"/>
    <col min="4371" max="4371" width="19.625" customWidth="1"/>
    <col min="4381" max="4381" width="7.5" customWidth="1"/>
    <col min="4609" max="4609" width="13.125" customWidth="1"/>
    <col min="4610" max="4610" width="22.375" customWidth="1"/>
    <col min="4611" max="4611" width="14" customWidth="1"/>
    <col min="4612" max="4612" width="12.75" customWidth="1"/>
    <col min="4613" max="4613" width="15.875" bestFit="1" customWidth="1"/>
    <col min="4614" max="4615" width="13.5" customWidth="1"/>
    <col min="4616" max="4616" width="14.25" bestFit="1" customWidth="1"/>
    <col min="4617" max="4617" width="16.125" customWidth="1"/>
    <col min="4618" max="4618" width="15.375" customWidth="1"/>
    <col min="4619" max="4619" width="16.25" customWidth="1"/>
    <col min="4620" max="4620" width="14.25" bestFit="1" customWidth="1"/>
    <col min="4621" max="4621" width="15.125" customWidth="1"/>
    <col min="4622" max="4622" width="13.875" bestFit="1" customWidth="1"/>
    <col min="4623" max="4623" width="14.125" bestFit="1" customWidth="1"/>
    <col min="4624" max="4624" width="17.5" customWidth="1"/>
    <col min="4625" max="4625" width="18.75" customWidth="1"/>
    <col min="4626" max="4626" width="22" customWidth="1"/>
    <col min="4627" max="4627" width="19.625" customWidth="1"/>
    <col min="4637" max="4637" width="7.5" customWidth="1"/>
    <col min="4865" max="4865" width="13.125" customWidth="1"/>
    <col min="4866" max="4866" width="22.375" customWidth="1"/>
    <col min="4867" max="4867" width="14" customWidth="1"/>
    <col min="4868" max="4868" width="12.75" customWidth="1"/>
    <col min="4869" max="4869" width="15.875" bestFit="1" customWidth="1"/>
    <col min="4870" max="4871" width="13.5" customWidth="1"/>
    <col min="4872" max="4872" width="14.25" bestFit="1" customWidth="1"/>
    <col min="4873" max="4873" width="16.125" customWidth="1"/>
    <col min="4874" max="4874" width="15.375" customWidth="1"/>
    <col min="4875" max="4875" width="16.25" customWidth="1"/>
    <col min="4876" max="4876" width="14.25" bestFit="1" customWidth="1"/>
    <col min="4877" max="4877" width="15.125" customWidth="1"/>
    <col min="4878" max="4878" width="13.875" bestFit="1" customWidth="1"/>
    <col min="4879" max="4879" width="14.125" bestFit="1" customWidth="1"/>
    <col min="4880" max="4880" width="17.5" customWidth="1"/>
    <col min="4881" max="4881" width="18.75" customWidth="1"/>
    <col min="4882" max="4882" width="22" customWidth="1"/>
    <col min="4883" max="4883" width="19.625" customWidth="1"/>
    <col min="4893" max="4893" width="7.5" customWidth="1"/>
    <col min="5121" max="5121" width="13.125" customWidth="1"/>
    <col min="5122" max="5122" width="22.375" customWidth="1"/>
    <col min="5123" max="5123" width="14" customWidth="1"/>
    <col min="5124" max="5124" width="12.75" customWidth="1"/>
    <col min="5125" max="5125" width="15.875" bestFit="1" customWidth="1"/>
    <col min="5126" max="5127" width="13.5" customWidth="1"/>
    <col min="5128" max="5128" width="14.25" bestFit="1" customWidth="1"/>
    <col min="5129" max="5129" width="16.125" customWidth="1"/>
    <col min="5130" max="5130" width="15.375" customWidth="1"/>
    <col min="5131" max="5131" width="16.25" customWidth="1"/>
    <col min="5132" max="5132" width="14.25" bestFit="1" customWidth="1"/>
    <col min="5133" max="5133" width="15.125" customWidth="1"/>
    <col min="5134" max="5134" width="13.875" bestFit="1" customWidth="1"/>
    <col min="5135" max="5135" width="14.125" bestFit="1" customWidth="1"/>
    <col min="5136" max="5136" width="17.5" customWidth="1"/>
    <col min="5137" max="5137" width="18.75" customWidth="1"/>
    <col min="5138" max="5138" width="22" customWidth="1"/>
    <col min="5139" max="5139" width="19.625" customWidth="1"/>
    <col min="5149" max="5149" width="7.5" customWidth="1"/>
    <col min="5377" max="5377" width="13.125" customWidth="1"/>
    <col min="5378" max="5378" width="22.375" customWidth="1"/>
    <col min="5379" max="5379" width="14" customWidth="1"/>
    <col min="5380" max="5380" width="12.75" customWidth="1"/>
    <col min="5381" max="5381" width="15.875" bestFit="1" customWidth="1"/>
    <col min="5382" max="5383" width="13.5" customWidth="1"/>
    <col min="5384" max="5384" width="14.25" bestFit="1" customWidth="1"/>
    <col min="5385" max="5385" width="16.125" customWidth="1"/>
    <col min="5386" max="5386" width="15.375" customWidth="1"/>
    <col min="5387" max="5387" width="16.25" customWidth="1"/>
    <col min="5388" max="5388" width="14.25" bestFit="1" customWidth="1"/>
    <col min="5389" max="5389" width="15.125" customWidth="1"/>
    <col min="5390" max="5390" width="13.875" bestFit="1" customWidth="1"/>
    <col min="5391" max="5391" width="14.125" bestFit="1" customWidth="1"/>
    <col min="5392" max="5392" width="17.5" customWidth="1"/>
    <col min="5393" max="5393" width="18.75" customWidth="1"/>
    <col min="5394" max="5394" width="22" customWidth="1"/>
    <col min="5395" max="5395" width="19.625" customWidth="1"/>
    <col min="5405" max="5405" width="7.5" customWidth="1"/>
    <col min="5633" max="5633" width="13.125" customWidth="1"/>
    <col min="5634" max="5634" width="22.375" customWidth="1"/>
    <col min="5635" max="5635" width="14" customWidth="1"/>
    <col min="5636" max="5636" width="12.75" customWidth="1"/>
    <col min="5637" max="5637" width="15.875" bestFit="1" customWidth="1"/>
    <col min="5638" max="5639" width="13.5" customWidth="1"/>
    <col min="5640" max="5640" width="14.25" bestFit="1" customWidth="1"/>
    <col min="5641" max="5641" width="16.125" customWidth="1"/>
    <col min="5642" max="5642" width="15.375" customWidth="1"/>
    <col min="5643" max="5643" width="16.25" customWidth="1"/>
    <col min="5644" max="5644" width="14.25" bestFit="1" customWidth="1"/>
    <col min="5645" max="5645" width="15.125" customWidth="1"/>
    <col min="5646" max="5646" width="13.875" bestFit="1" customWidth="1"/>
    <col min="5647" max="5647" width="14.125" bestFit="1" customWidth="1"/>
    <col min="5648" max="5648" width="17.5" customWidth="1"/>
    <col min="5649" max="5649" width="18.75" customWidth="1"/>
    <col min="5650" max="5650" width="22" customWidth="1"/>
    <col min="5651" max="5651" width="19.625" customWidth="1"/>
    <col min="5661" max="5661" width="7.5" customWidth="1"/>
    <col min="5889" max="5889" width="13.125" customWidth="1"/>
    <col min="5890" max="5890" width="22.375" customWidth="1"/>
    <col min="5891" max="5891" width="14" customWidth="1"/>
    <col min="5892" max="5892" width="12.75" customWidth="1"/>
    <col min="5893" max="5893" width="15.875" bestFit="1" customWidth="1"/>
    <col min="5894" max="5895" width="13.5" customWidth="1"/>
    <col min="5896" max="5896" width="14.25" bestFit="1" customWidth="1"/>
    <col min="5897" max="5897" width="16.125" customWidth="1"/>
    <col min="5898" max="5898" width="15.375" customWidth="1"/>
    <col min="5899" max="5899" width="16.25" customWidth="1"/>
    <col min="5900" max="5900" width="14.25" bestFit="1" customWidth="1"/>
    <col min="5901" max="5901" width="15.125" customWidth="1"/>
    <col min="5902" max="5902" width="13.875" bestFit="1" customWidth="1"/>
    <col min="5903" max="5903" width="14.125" bestFit="1" customWidth="1"/>
    <col min="5904" max="5904" width="17.5" customWidth="1"/>
    <col min="5905" max="5905" width="18.75" customWidth="1"/>
    <col min="5906" max="5906" width="22" customWidth="1"/>
    <col min="5907" max="5907" width="19.625" customWidth="1"/>
    <col min="5917" max="5917" width="7.5" customWidth="1"/>
    <col min="6145" max="6145" width="13.125" customWidth="1"/>
    <col min="6146" max="6146" width="22.375" customWidth="1"/>
    <col min="6147" max="6147" width="14" customWidth="1"/>
    <col min="6148" max="6148" width="12.75" customWidth="1"/>
    <col min="6149" max="6149" width="15.875" bestFit="1" customWidth="1"/>
    <col min="6150" max="6151" width="13.5" customWidth="1"/>
    <col min="6152" max="6152" width="14.25" bestFit="1" customWidth="1"/>
    <col min="6153" max="6153" width="16.125" customWidth="1"/>
    <col min="6154" max="6154" width="15.375" customWidth="1"/>
    <col min="6155" max="6155" width="16.25" customWidth="1"/>
    <col min="6156" max="6156" width="14.25" bestFit="1" customWidth="1"/>
    <col min="6157" max="6157" width="15.125" customWidth="1"/>
    <col min="6158" max="6158" width="13.875" bestFit="1" customWidth="1"/>
    <col min="6159" max="6159" width="14.125" bestFit="1" customWidth="1"/>
    <col min="6160" max="6160" width="17.5" customWidth="1"/>
    <col min="6161" max="6161" width="18.75" customWidth="1"/>
    <col min="6162" max="6162" width="22" customWidth="1"/>
    <col min="6163" max="6163" width="19.625" customWidth="1"/>
    <col min="6173" max="6173" width="7.5" customWidth="1"/>
    <col min="6401" max="6401" width="13.125" customWidth="1"/>
    <col min="6402" max="6402" width="22.375" customWidth="1"/>
    <col min="6403" max="6403" width="14" customWidth="1"/>
    <col min="6404" max="6404" width="12.75" customWidth="1"/>
    <col min="6405" max="6405" width="15.875" bestFit="1" customWidth="1"/>
    <col min="6406" max="6407" width="13.5" customWidth="1"/>
    <col min="6408" max="6408" width="14.25" bestFit="1" customWidth="1"/>
    <col min="6409" max="6409" width="16.125" customWidth="1"/>
    <col min="6410" max="6410" width="15.375" customWidth="1"/>
    <col min="6411" max="6411" width="16.25" customWidth="1"/>
    <col min="6412" max="6412" width="14.25" bestFit="1" customWidth="1"/>
    <col min="6413" max="6413" width="15.125" customWidth="1"/>
    <col min="6414" max="6414" width="13.875" bestFit="1" customWidth="1"/>
    <col min="6415" max="6415" width="14.125" bestFit="1" customWidth="1"/>
    <col min="6416" max="6416" width="17.5" customWidth="1"/>
    <col min="6417" max="6417" width="18.75" customWidth="1"/>
    <col min="6418" max="6418" width="22" customWidth="1"/>
    <col min="6419" max="6419" width="19.625" customWidth="1"/>
    <col min="6429" max="6429" width="7.5" customWidth="1"/>
    <col min="6657" max="6657" width="13.125" customWidth="1"/>
    <col min="6658" max="6658" width="22.375" customWidth="1"/>
    <col min="6659" max="6659" width="14" customWidth="1"/>
    <col min="6660" max="6660" width="12.75" customWidth="1"/>
    <col min="6661" max="6661" width="15.875" bestFit="1" customWidth="1"/>
    <col min="6662" max="6663" width="13.5" customWidth="1"/>
    <col min="6664" max="6664" width="14.25" bestFit="1" customWidth="1"/>
    <col min="6665" max="6665" width="16.125" customWidth="1"/>
    <col min="6666" max="6666" width="15.375" customWidth="1"/>
    <col min="6667" max="6667" width="16.25" customWidth="1"/>
    <col min="6668" max="6668" width="14.25" bestFit="1" customWidth="1"/>
    <col min="6669" max="6669" width="15.125" customWidth="1"/>
    <col min="6670" max="6670" width="13.875" bestFit="1" customWidth="1"/>
    <col min="6671" max="6671" width="14.125" bestFit="1" customWidth="1"/>
    <col min="6672" max="6672" width="17.5" customWidth="1"/>
    <col min="6673" max="6673" width="18.75" customWidth="1"/>
    <col min="6674" max="6674" width="22" customWidth="1"/>
    <col min="6675" max="6675" width="19.625" customWidth="1"/>
    <col min="6685" max="6685" width="7.5" customWidth="1"/>
    <col min="6913" max="6913" width="13.125" customWidth="1"/>
    <col min="6914" max="6914" width="22.375" customWidth="1"/>
    <col min="6915" max="6915" width="14" customWidth="1"/>
    <col min="6916" max="6916" width="12.75" customWidth="1"/>
    <col min="6917" max="6917" width="15.875" bestFit="1" customWidth="1"/>
    <col min="6918" max="6919" width="13.5" customWidth="1"/>
    <col min="6920" max="6920" width="14.25" bestFit="1" customWidth="1"/>
    <col min="6921" max="6921" width="16.125" customWidth="1"/>
    <col min="6922" max="6922" width="15.375" customWidth="1"/>
    <col min="6923" max="6923" width="16.25" customWidth="1"/>
    <col min="6924" max="6924" width="14.25" bestFit="1" customWidth="1"/>
    <col min="6925" max="6925" width="15.125" customWidth="1"/>
    <col min="6926" max="6926" width="13.875" bestFit="1" customWidth="1"/>
    <col min="6927" max="6927" width="14.125" bestFit="1" customWidth="1"/>
    <col min="6928" max="6928" width="17.5" customWidth="1"/>
    <col min="6929" max="6929" width="18.75" customWidth="1"/>
    <col min="6930" max="6930" width="22" customWidth="1"/>
    <col min="6931" max="6931" width="19.625" customWidth="1"/>
    <col min="6941" max="6941" width="7.5" customWidth="1"/>
    <col min="7169" max="7169" width="13.125" customWidth="1"/>
    <col min="7170" max="7170" width="22.375" customWidth="1"/>
    <col min="7171" max="7171" width="14" customWidth="1"/>
    <col min="7172" max="7172" width="12.75" customWidth="1"/>
    <col min="7173" max="7173" width="15.875" bestFit="1" customWidth="1"/>
    <col min="7174" max="7175" width="13.5" customWidth="1"/>
    <col min="7176" max="7176" width="14.25" bestFit="1" customWidth="1"/>
    <col min="7177" max="7177" width="16.125" customWidth="1"/>
    <col min="7178" max="7178" width="15.375" customWidth="1"/>
    <col min="7179" max="7179" width="16.25" customWidth="1"/>
    <col min="7180" max="7180" width="14.25" bestFit="1" customWidth="1"/>
    <col min="7181" max="7181" width="15.125" customWidth="1"/>
    <col min="7182" max="7182" width="13.875" bestFit="1" customWidth="1"/>
    <col min="7183" max="7183" width="14.125" bestFit="1" customWidth="1"/>
    <col min="7184" max="7184" width="17.5" customWidth="1"/>
    <col min="7185" max="7185" width="18.75" customWidth="1"/>
    <col min="7186" max="7186" width="22" customWidth="1"/>
    <col min="7187" max="7187" width="19.625" customWidth="1"/>
    <col min="7197" max="7197" width="7.5" customWidth="1"/>
    <col min="7425" max="7425" width="13.125" customWidth="1"/>
    <col min="7426" max="7426" width="22.375" customWidth="1"/>
    <col min="7427" max="7427" width="14" customWidth="1"/>
    <col min="7428" max="7428" width="12.75" customWidth="1"/>
    <col min="7429" max="7429" width="15.875" bestFit="1" customWidth="1"/>
    <col min="7430" max="7431" width="13.5" customWidth="1"/>
    <col min="7432" max="7432" width="14.25" bestFit="1" customWidth="1"/>
    <col min="7433" max="7433" width="16.125" customWidth="1"/>
    <col min="7434" max="7434" width="15.375" customWidth="1"/>
    <col min="7435" max="7435" width="16.25" customWidth="1"/>
    <col min="7436" max="7436" width="14.25" bestFit="1" customWidth="1"/>
    <col min="7437" max="7437" width="15.125" customWidth="1"/>
    <col min="7438" max="7438" width="13.875" bestFit="1" customWidth="1"/>
    <col min="7439" max="7439" width="14.125" bestFit="1" customWidth="1"/>
    <col min="7440" max="7440" width="17.5" customWidth="1"/>
    <col min="7441" max="7441" width="18.75" customWidth="1"/>
    <col min="7442" max="7442" width="22" customWidth="1"/>
    <col min="7443" max="7443" width="19.625" customWidth="1"/>
    <col min="7453" max="7453" width="7.5" customWidth="1"/>
    <col min="7681" max="7681" width="13.125" customWidth="1"/>
    <col min="7682" max="7682" width="22.375" customWidth="1"/>
    <col min="7683" max="7683" width="14" customWidth="1"/>
    <col min="7684" max="7684" width="12.75" customWidth="1"/>
    <col min="7685" max="7685" width="15.875" bestFit="1" customWidth="1"/>
    <col min="7686" max="7687" width="13.5" customWidth="1"/>
    <col min="7688" max="7688" width="14.25" bestFit="1" customWidth="1"/>
    <col min="7689" max="7689" width="16.125" customWidth="1"/>
    <col min="7690" max="7690" width="15.375" customWidth="1"/>
    <col min="7691" max="7691" width="16.25" customWidth="1"/>
    <col min="7692" max="7692" width="14.25" bestFit="1" customWidth="1"/>
    <col min="7693" max="7693" width="15.125" customWidth="1"/>
    <col min="7694" max="7694" width="13.875" bestFit="1" customWidth="1"/>
    <col min="7695" max="7695" width="14.125" bestFit="1" customWidth="1"/>
    <col min="7696" max="7696" width="17.5" customWidth="1"/>
    <col min="7697" max="7697" width="18.75" customWidth="1"/>
    <col min="7698" max="7698" width="22" customWidth="1"/>
    <col min="7699" max="7699" width="19.625" customWidth="1"/>
    <col min="7709" max="7709" width="7.5" customWidth="1"/>
    <col min="7937" max="7937" width="13.125" customWidth="1"/>
    <col min="7938" max="7938" width="22.375" customWidth="1"/>
    <col min="7939" max="7939" width="14" customWidth="1"/>
    <col min="7940" max="7940" width="12.75" customWidth="1"/>
    <col min="7941" max="7941" width="15.875" bestFit="1" customWidth="1"/>
    <col min="7942" max="7943" width="13.5" customWidth="1"/>
    <col min="7944" max="7944" width="14.25" bestFit="1" customWidth="1"/>
    <col min="7945" max="7945" width="16.125" customWidth="1"/>
    <col min="7946" max="7946" width="15.375" customWidth="1"/>
    <col min="7947" max="7947" width="16.25" customWidth="1"/>
    <col min="7948" max="7948" width="14.25" bestFit="1" customWidth="1"/>
    <col min="7949" max="7949" width="15.125" customWidth="1"/>
    <col min="7950" max="7950" width="13.875" bestFit="1" customWidth="1"/>
    <col min="7951" max="7951" width="14.125" bestFit="1" customWidth="1"/>
    <col min="7952" max="7952" width="17.5" customWidth="1"/>
    <col min="7953" max="7953" width="18.75" customWidth="1"/>
    <col min="7954" max="7954" width="22" customWidth="1"/>
    <col min="7955" max="7955" width="19.625" customWidth="1"/>
    <col min="7965" max="7965" width="7.5" customWidth="1"/>
    <col min="8193" max="8193" width="13.125" customWidth="1"/>
    <col min="8194" max="8194" width="22.375" customWidth="1"/>
    <col min="8195" max="8195" width="14" customWidth="1"/>
    <col min="8196" max="8196" width="12.75" customWidth="1"/>
    <col min="8197" max="8197" width="15.875" bestFit="1" customWidth="1"/>
    <col min="8198" max="8199" width="13.5" customWidth="1"/>
    <col min="8200" max="8200" width="14.25" bestFit="1" customWidth="1"/>
    <col min="8201" max="8201" width="16.125" customWidth="1"/>
    <col min="8202" max="8202" width="15.375" customWidth="1"/>
    <col min="8203" max="8203" width="16.25" customWidth="1"/>
    <col min="8204" max="8204" width="14.25" bestFit="1" customWidth="1"/>
    <col min="8205" max="8205" width="15.125" customWidth="1"/>
    <col min="8206" max="8206" width="13.875" bestFit="1" customWidth="1"/>
    <col min="8207" max="8207" width="14.125" bestFit="1" customWidth="1"/>
    <col min="8208" max="8208" width="17.5" customWidth="1"/>
    <col min="8209" max="8209" width="18.75" customWidth="1"/>
    <col min="8210" max="8210" width="22" customWidth="1"/>
    <col min="8211" max="8211" width="19.625" customWidth="1"/>
    <col min="8221" max="8221" width="7.5" customWidth="1"/>
    <col min="8449" max="8449" width="13.125" customWidth="1"/>
    <col min="8450" max="8450" width="22.375" customWidth="1"/>
    <col min="8451" max="8451" width="14" customWidth="1"/>
    <col min="8452" max="8452" width="12.75" customWidth="1"/>
    <col min="8453" max="8453" width="15.875" bestFit="1" customWidth="1"/>
    <col min="8454" max="8455" width="13.5" customWidth="1"/>
    <col min="8456" max="8456" width="14.25" bestFit="1" customWidth="1"/>
    <col min="8457" max="8457" width="16.125" customWidth="1"/>
    <col min="8458" max="8458" width="15.375" customWidth="1"/>
    <col min="8459" max="8459" width="16.25" customWidth="1"/>
    <col min="8460" max="8460" width="14.25" bestFit="1" customWidth="1"/>
    <col min="8461" max="8461" width="15.125" customWidth="1"/>
    <col min="8462" max="8462" width="13.875" bestFit="1" customWidth="1"/>
    <col min="8463" max="8463" width="14.125" bestFit="1" customWidth="1"/>
    <col min="8464" max="8464" width="17.5" customWidth="1"/>
    <col min="8465" max="8465" width="18.75" customWidth="1"/>
    <col min="8466" max="8466" width="22" customWidth="1"/>
    <col min="8467" max="8467" width="19.625" customWidth="1"/>
    <col min="8477" max="8477" width="7.5" customWidth="1"/>
    <col min="8705" max="8705" width="13.125" customWidth="1"/>
    <col min="8706" max="8706" width="22.375" customWidth="1"/>
    <col min="8707" max="8707" width="14" customWidth="1"/>
    <col min="8708" max="8708" width="12.75" customWidth="1"/>
    <col min="8709" max="8709" width="15.875" bestFit="1" customWidth="1"/>
    <col min="8710" max="8711" width="13.5" customWidth="1"/>
    <col min="8712" max="8712" width="14.25" bestFit="1" customWidth="1"/>
    <col min="8713" max="8713" width="16.125" customWidth="1"/>
    <col min="8714" max="8714" width="15.375" customWidth="1"/>
    <col min="8715" max="8715" width="16.25" customWidth="1"/>
    <col min="8716" max="8716" width="14.25" bestFit="1" customWidth="1"/>
    <col min="8717" max="8717" width="15.125" customWidth="1"/>
    <col min="8718" max="8718" width="13.875" bestFit="1" customWidth="1"/>
    <col min="8719" max="8719" width="14.125" bestFit="1" customWidth="1"/>
    <col min="8720" max="8720" width="17.5" customWidth="1"/>
    <col min="8721" max="8721" width="18.75" customWidth="1"/>
    <col min="8722" max="8722" width="22" customWidth="1"/>
    <col min="8723" max="8723" width="19.625" customWidth="1"/>
    <col min="8733" max="8733" width="7.5" customWidth="1"/>
    <col min="8961" max="8961" width="13.125" customWidth="1"/>
    <col min="8962" max="8962" width="22.375" customWidth="1"/>
    <col min="8963" max="8963" width="14" customWidth="1"/>
    <col min="8964" max="8964" width="12.75" customWidth="1"/>
    <col min="8965" max="8965" width="15.875" bestFit="1" customWidth="1"/>
    <col min="8966" max="8967" width="13.5" customWidth="1"/>
    <col min="8968" max="8968" width="14.25" bestFit="1" customWidth="1"/>
    <col min="8969" max="8969" width="16.125" customWidth="1"/>
    <col min="8970" max="8970" width="15.375" customWidth="1"/>
    <col min="8971" max="8971" width="16.25" customWidth="1"/>
    <col min="8972" max="8972" width="14.25" bestFit="1" customWidth="1"/>
    <col min="8973" max="8973" width="15.125" customWidth="1"/>
    <col min="8974" max="8974" width="13.875" bestFit="1" customWidth="1"/>
    <col min="8975" max="8975" width="14.125" bestFit="1" customWidth="1"/>
    <col min="8976" max="8976" width="17.5" customWidth="1"/>
    <col min="8977" max="8977" width="18.75" customWidth="1"/>
    <col min="8978" max="8978" width="22" customWidth="1"/>
    <col min="8979" max="8979" width="19.625" customWidth="1"/>
    <col min="8989" max="8989" width="7.5" customWidth="1"/>
    <col min="9217" max="9217" width="13.125" customWidth="1"/>
    <col min="9218" max="9218" width="22.375" customWidth="1"/>
    <col min="9219" max="9219" width="14" customWidth="1"/>
    <col min="9220" max="9220" width="12.75" customWidth="1"/>
    <col min="9221" max="9221" width="15.875" bestFit="1" customWidth="1"/>
    <col min="9222" max="9223" width="13.5" customWidth="1"/>
    <col min="9224" max="9224" width="14.25" bestFit="1" customWidth="1"/>
    <col min="9225" max="9225" width="16.125" customWidth="1"/>
    <col min="9226" max="9226" width="15.375" customWidth="1"/>
    <col min="9227" max="9227" width="16.25" customWidth="1"/>
    <col min="9228" max="9228" width="14.25" bestFit="1" customWidth="1"/>
    <col min="9229" max="9229" width="15.125" customWidth="1"/>
    <col min="9230" max="9230" width="13.875" bestFit="1" customWidth="1"/>
    <col min="9231" max="9231" width="14.125" bestFit="1" customWidth="1"/>
    <col min="9232" max="9232" width="17.5" customWidth="1"/>
    <col min="9233" max="9233" width="18.75" customWidth="1"/>
    <col min="9234" max="9234" width="22" customWidth="1"/>
    <col min="9235" max="9235" width="19.625" customWidth="1"/>
    <col min="9245" max="9245" width="7.5" customWidth="1"/>
    <col min="9473" max="9473" width="13.125" customWidth="1"/>
    <col min="9474" max="9474" width="22.375" customWidth="1"/>
    <col min="9475" max="9475" width="14" customWidth="1"/>
    <col min="9476" max="9476" width="12.75" customWidth="1"/>
    <col min="9477" max="9477" width="15.875" bestFit="1" customWidth="1"/>
    <col min="9478" max="9479" width="13.5" customWidth="1"/>
    <col min="9480" max="9480" width="14.25" bestFit="1" customWidth="1"/>
    <col min="9481" max="9481" width="16.125" customWidth="1"/>
    <col min="9482" max="9482" width="15.375" customWidth="1"/>
    <col min="9483" max="9483" width="16.25" customWidth="1"/>
    <col min="9484" max="9484" width="14.25" bestFit="1" customWidth="1"/>
    <col min="9485" max="9485" width="15.125" customWidth="1"/>
    <col min="9486" max="9486" width="13.875" bestFit="1" customWidth="1"/>
    <col min="9487" max="9487" width="14.125" bestFit="1" customWidth="1"/>
    <col min="9488" max="9488" width="17.5" customWidth="1"/>
    <col min="9489" max="9489" width="18.75" customWidth="1"/>
    <col min="9490" max="9490" width="22" customWidth="1"/>
    <col min="9491" max="9491" width="19.625" customWidth="1"/>
    <col min="9501" max="9501" width="7.5" customWidth="1"/>
    <col min="9729" max="9729" width="13.125" customWidth="1"/>
    <col min="9730" max="9730" width="22.375" customWidth="1"/>
    <col min="9731" max="9731" width="14" customWidth="1"/>
    <col min="9732" max="9732" width="12.75" customWidth="1"/>
    <col min="9733" max="9733" width="15.875" bestFit="1" customWidth="1"/>
    <col min="9734" max="9735" width="13.5" customWidth="1"/>
    <col min="9736" max="9736" width="14.25" bestFit="1" customWidth="1"/>
    <col min="9737" max="9737" width="16.125" customWidth="1"/>
    <col min="9738" max="9738" width="15.375" customWidth="1"/>
    <col min="9739" max="9739" width="16.25" customWidth="1"/>
    <col min="9740" max="9740" width="14.25" bestFit="1" customWidth="1"/>
    <col min="9741" max="9741" width="15.125" customWidth="1"/>
    <col min="9742" max="9742" width="13.875" bestFit="1" customWidth="1"/>
    <col min="9743" max="9743" width="14.125" bestFit="1" customWidth="1"/>
    <col min="9744" max="9744" width="17.5" customWidth="1"/>
    <col min="9745" max="9745" width="18.75" customWidth="1"/>
    <col min="9746" max="9746" width="22" customWidth="1"/>
    <col min="9747" max="9747" width="19.625" customWidth="1"/>
    <col min="9757" max="9757" width="7.5" customWidth="1"/>
    <col min="9985" max="9985" width="13.125" customWidth="1"/>
    <col min="9986" max="9986" width="22.375" customWidth="1"/>
    <col min="9987" max="9987" width="14" customWidth="1"/>
    <col min="9988" max="9988" width="12.75" customWidth="1"/>
    <col min="9989" max="9989" width="15.875" bestFit="1" customWidth="1"/>
    <col min="9990" max="9991" width="13.5" customWidth="1"/>
    <col min="9992" max="9992" width="14.25" bestFit="1" customWidth="1"/>
    <col min="9993" max="9993" width="16.125" customWidth="1"/>
    <col min="9994" max="9994" width="15.375" customWidth="1"/>
    <col min="9995" max="9995" width="16.25" customWidth="1"/>
    <col min="9996" max="9996" width="14.25" bestFit="1" customWidth="1"/>
    <col min="9997" max="9997" width="15.125" customWidth="1"/>
    <col min="9998" max="9998" width="13.875" bestFit="1" customWidth="1"/>
    <col min="9999" max="9999" width="14.125" bestFit="1" customWidth="1"/>
    <col min="10000" max="10000" width="17.5" customWidth="1"/>
    <col min="10001" max="10001" width="18.75" customWidth="1"/>
    <col min="10002" max="10002" width="22" customWidth="1"/>
    <col min="10003" max="10003" width="19.625" customWidth="1"/>
    <col min="10013" max="10013" width="7.5" customWidth="1"/>
    <col min="10241" max="10241" width="13.125" customWidth="1"/>
    <col min="10242" max="10242" width="22.375" customWidth="1"/>
    <col min="10243" max="10243" width="14" customWidth="1"/>
    <col min="10244" max="10244" width="12.75" customWidth="1"/>
    <col min="10245" max="10245" width="15.875" bestFit="1" customWidth="1"/>
    <col min="10246" max="10247" width="13.5" customWidth="1"/>
    <col min="10248" max="10248" width="14.25" bestFit="1" customWidth="1"/>
    <col min="10249" max="10249" width="16.125" customWidth="1"/>
    <col min="10250" max="10250" width="15.375" customWidth="1"/>
    <col min="10251" max="10251" width="16.25" customWidth="1"/>
    <col min="10252" max="10252" width="14.25" bestFit="1" customWidth="1"/>
    <col min="10253" max="10253" width="15.125" customWidth="1"/>
    <col min="10254" max="10254" width="13.875" bestFit="1" customWidth="1"/>
    <col min="10255" max="10255" width="14.125" bestFit="1" customWidth="1"/>
    <col min="10256" max="10256" width="17.5" customWidth="1"/>
    <col min="10257" max="10257" width="18.75" customWidth="1"/>
    <col min="10258" max="10258" width="22" customWidth="1"/>
    <col min="10259" max="10259" width="19.625" customWidth="1"/>
    <col min="10269" max="10269" width="7.5" customWidth="1"/>
    <col min="10497" max="10497" width="13.125" customWidth="1"/>
    <col min="10498" max="10498" width="22.375" customWidth="1"/>
    <col min="10499" max="10499" width="14" customWidth="1"/>
    <col min="10500" max="10500" width="12.75" customWidth="1"/>
    <col min="10501" max="10501" width="15.875" bestFit="1" customWidth="1"/>
    <col min="10502" max="10503" width="13.5" customWidth="1"/>
    <col min="10504" max="10504" width="14.25" bestFit="1" customWidth="1"/>
    <col min="10505" max="10505" width="16.125" customWidth="1"/>
    <col min="10506" max="10506" width="15.375" customWidth="1"/>
    <col min="10507" max="10507" width="16.25" customWidth="1"/>
    <col min="10508" max="10508" width="14.25" bestFit="1" customWidth="1"/>
    <col min="10509" max="10509" width="15.125" customWidth="1"/>
    <col min="10510" max="10510" width="13.875" bestFit="1" customWidth="1"/>
    <col min="10511" max="10511" width="14.125" bestFit="1" customWidth="1"/>
    <col min="10512" max="10512" width="17.5" customWidth="1"/>
    <col min="10513" max="10513" width="18.75" customWidth="1"/>
    <col min="10514" max="10514" width="22" customWidth="1"/>
    <col min="10515" max="10515" width="19.625" customWidth="1"/>
    <col min="10525" max="10525" width="7.5" customWidth="1"/>
    <col min="10753" max="10753" width="13.125" customWidth="1"/>
    <col min="10754" max="10754" width="22.375" customWidth="1"/>
    <col min="10755" max="10755" width="14" customWidth="1"/>
    <col min="10756" max="10756" width="12.75" customWidth="1"/>
    <col min="10757" max="10757" width="15.875" bestFit="1" customWidth="1"/>
    <col min="10758" max="10759" width="13.5" customWidth="1"/>
    <col min="10760" max="10760" width="14.25" bestFit="1" customWidth="1"/>
    <col min="10761" max="10761" width="16.125" customWidth="1"/>
    <col min="10762" max="10762" width="15.375" customWidth="1"/>
    <col min="10763" max="10763" width="16.25" customWidth="1"/>
    <col min="10764" max="10764" width="14.25" bestFit="1" customWidth="1"/>
    <col min="10765" max="10765" width="15.125" customWidth="1"/>
    <col min="10766" max="10766" width="13.875" bestFit="1" customWidth="1"/>
    <col min="10767" max="10767" width="14.125" bestFit="1" customWidth="1"/>
    <col min="10768" max="10768" width="17.5" customWidth="1"/>
    <col min="10769" max="10769" width="18.75" customWidth="1"/>
    <col min="10770" max="10770" width="22" customWidth="1"/>
    <col min="10771" max="10771" width="19.625" customWidth="1"/>
    <col min="10781" max="10781" width="7.5" customWidth="1"/>
    <col min="11009" max="11009" width="13.125" customWidth="1"/>
    <col min="11010" max="11010" width="22.375" customWidth="1"/>
    <col min="11011" max="11011" width="14" customWidth="1"/>
    <col min="11012" max="11012" width="12.75" customWidth="1"/>
    <col min="11013" max="11013" width="15.875" bestFit="1" customWidth="1"/>
    <col min="11014" max="11015" width="13.5" customWidth="1"/>
    <col min="11016" max="11016" width="14.25" bestFit="1" customWidth="1"/>
    <col min="11017" max="11017" width="16.125" customWidth="1"/>
    <col min="11018" max="11018" width="15.375" customWidth="1"/>
    <col min="11019" max="11019" width="16.25" customWidth="1"/>
    <col min="11020" max="11020" width="14.25" bestFit="1" customWidth="1"/>
    <col min="11021" max="11021" width="15.125" customWidth="1"/>
    <col min="11022" max="11022" width="13.875" bestFit="1" customWidth="1"/>
    <col min="11023" max="11023" width="14.125" bestFit="1" customWidth="1"/>
    <col min="11024" max="11024" width="17.5" customWidth="1"/>
    <col min="11025" max="11025" width="18.75" customWidth="1"/>
    <col min="11026" max="11026" width="22" customWidth="1"/>
    <col min="11027" max="11027" width="19.625" customWidth="1"/>
    <col min="11037" max="11037" width="7.5" customWidth="1"/>
    <col min="11265" max="11265" width="13.125" customWidth="1"/>
    <col min="11266" max="11266" width="22.375" customWidth="1"/>
    <col min="11267" max="11267" width="14" customWidth="1"/>
    <col min="11268" max="11268" width="12.75" customWidth="1"/>
    <col min="11269" max="11269" width="15.875" bestFit="1" customWidth="1"/>
    <col min="11270" max="11271" width="13.5" customWidth="1"/>
    <col min="11272" max="11272" width="14.25" bestFit="1" customWidth="1"/>
    <col min="11273" max="11273" width="16.125" customWidth="1"/>
    <col min="11274" max="11274" width="15.375" customWidth="1"/>
    <col min="11275" max="11275" width="16.25" customWidth="1"/>
    <col min="11276" max="11276" width="14.25" bestFit="1" customWidth="1"/>
    <col min="11277" max="11277" width="15.125" customWidth="1"/>
    <col min="11278" max="11278" width="13.875" bestFit="1" customWidth="1"/>
    <col min="11279" max="11279" width="14.125" bestFit="1" customWidth="1"/>
    <col min="11280" max="11280" width="17.5" customWidth="1"/>
    <col min="11281" max="11281" width="18.75" customWidth="1"/>
    <col min="11282" max="11282" width="22" customWidth="1"/>
    <col min="11283" max="11283" width="19.625" customWidth="1"/>
    <col min="11293" max="11293" width="7.5" customWidth="1"/>
    <col min="11521" max="11521" width="13.125" customWidth="1"/>
    <col min="11522" max="11522" width="22.375" customWidth="1"/>
    <col min="11523" max="11523" width="14" customWidth="1"/>
    <col min="11524" max="11524" width="12.75" customWidth="1"/>
    <col min="11525" max="11525" width="15.875" bestFit="1" customWidth="1"/>
    <col min="11526" max="11527" width="13.5" customWidth="1"/>
    <col min="11528" max="11528" width="14.25" bestFit="1" customWidth="1"/>
    <col min="11529" max="11529" width="16.125" customWidth="1"/>
    <col min="11530" max="11530" width="15.375" customWidth="1"/>
    <col min="11531" max="11531" width="16.25" customWidth="1"/>
    <col min="11532" max="11532" width="14.25" bestFit="1" customWidth="1"/>
    <col min="11533" max="11533" width="15.125" customWidth="1"/>
    <col min="11534" max="11534" width="13.875" bestFit="1" customWidth="1"/>
    <col min="11535" max="11535" width="14.125" bestFit="1" customWidth="1"/>
    <col min="11536" max="11536" width="17.5" customWidth="1"/>
    <col min="11537" max="11537" width="18.75" customWidth="1"/>
    <col min="11538" max="11538" width="22" customWidth="1"/>
    <col min="11539" max="11539" width="19.625" customWidth="1"/>
    <col min="11549" max="11549" width="7.5" customWidth="1"/>
    <col min="11777" max="11777" width="13.125" customWidth="1"/>
    <col min="11778" max="11778" width="22.375" customWidth="1"/>
    <col min="11779" max="11779" width="14" customWidth="1"/>
    <col min="11780" max="11780" width="12.75" customWidth="1"/>
    <col min="11781" max="11781" width="15.875" bestFit="1" customWidth="1"/>
    <col min="11782" max="11783" width="13.5" customWidth="1"/>
    <col min="11784" max="11784" width="14.25" bestFit="1" customWidth="1"/>
    <col min="11785" max="11785" width="16.125" customWidth="1"/>
    <col min="11786" max="11786" width="15.375" customWidth="1"/>
    <col min="11787" max="11787" width="16.25" customWidth="1"/>
    <col min="11788" max="11788" width="14.25" bestFit="1" customWidth="1"/>
    <col min="11789" max="11789" width="15.125" customWidth="1"/>
    <col min="11790" max="11790" width="13.875" bestFit="1" customWidth="1"/>
    <col min="11791" max="11791" width="14.125" bestFit="1" customWidth="1"/>
    <col min="11792" max="11792" width="17.5" customWidth="1"/>
    <col min="11793" max="11793" width="18.75" customWidth="1"/>
    <col min="11794" max="11794" width="22" customWidth="1"/>
    <col min="11795" max="11795" width="19.625" customWidth="1"/>
    <col min="11805" max="11805" width="7.5" customWidth="1"/>
    <col min="12033" max="12033" width="13.125" customWidth="1"/>
    <col min="12034" max="12034" width="22.375" customWidth="1"/>
    <col min="12035" max="12035" width="14" customWidth="1"/>
    <col min="12036" max="12036" width="12.75" customWidth="1"/>
    <col min="12037" max="12037" width="15.875" bestFit="1" customWidth="1"/>
    <col min="12038" max="12039" width="13.5" customWidth="1"/>
    <col min="12040" max="12040" width="14.25" bestFit="1" customWidth="1"/>
    <col min="12041" max="12041" width="16.125" customWidth="1"/>
    <col min="12042" max="12042" width="15.375" customWidth="1"/>
    <col min="12043" max="12043" width="16.25" customWidth="1"/>
    <col min="12044" max="12044" width="14.25" bestFit="1" customWidth="1"/>
    <col min="12045" max="12045" width="15.125" customWidth="1"/>
    <col min="12046" max="12046" width="13.875" bestFit="1" customWidth="1"/>
    <col min="12047" max="12047" width="14.125" bestFit="1" customWidth="1"/>
    <col min="12048" max="12048" width="17.5" customWidth="1"/>
    <col min="12049" max="12049" width="18.75" customWidth="1"/>
    <col min="12050" max="12050" width="22" customWidth="1"/>
    <col min="12051" max="12051" width="19.625" customWidth="1"/>
    <col min="12061" max="12061" width="7.5" customWidth="1"/>
    <col min="12289" max="12289" width="13.125" customWidth="1"/>
    <col min="12290" max="12290" width="22.375" customWidth="1"/>
    <col min="12291" max="12291" width="14" customWidth="1"/>
    <col min="12292" max="12292" width="12.75" customWidth="1"/>
    <col min="12293" max="12293" width="15.875" bestFit="1" customWidth="1"/>
    <col min="12294" max="12295" width="13.5" customWidth="1"/>
    <col min="12296" max="12296" width="14.25" bestFit="1" customWidth="1"/>
    <col min="12297" max="12297" width="16.125" customWidth="1"/>
    <col min="12298" max="12298" width="15.375" customWidth="1"/>
    <col min="12299" max="12299" width="16.25" customWidth="1"/>
    <col min="12300" max="12300" width="14.25" bestFit="1" customWidth="1"/>
    <col min="12301" max="12301" width="15.125" customWidth="1"/>
    <col min="12302" max="12302" width="13.875" bestFit="1" customWidth="1"/>
    <col min="12303" max="12303" width="14.125" bestFit="1" customWidth="1"/>
    <col min="12304" max="12304" width="17.5" customWidth="1"/>
    <col min="12305" max="12305" width="18.75" customWidth="1"/>
    <col min="12306" max="12306" width="22" customWidth="1"/>
    <col min="12307" max="12307" width="19.625" customWidth="1"/>
    <col min="12317" max="12317" width="7.5" customWidth="1"/>
    <col min="12545" max="12545" width="13.125" customWidth="1"/>
    <col min="12546" max="12546" width="22.375" customWidth="1"/>
    <col min="12547" max="12547" width="14" customWidth="1"/>
    <col min="12548" max="12548" width="12.75" customWidth="1"/>
    <col min="12549" max="12549" width="15.875" bestFit="1" customWidth="1"/>
    <col min="12550" max="12551" width="13.5" customWidth="1"/>
    <col min="12552" max="12552" width="14.25" bestFit="1" customWidth="1"/>
    <col min="12553" max="12553" width="16.125" customWidth="1"/>
    <col min="12554" max="12554" width="15.375" customWidth="1"/>
    <col min="12555" max="12555" width="16.25" customWidth="1"/>
    <col min="12556" max="12556" width="14.25" bestFit="1" customWidth="1"/>
    <col min="12557" max="12557" width="15.125" customWidth="1"/>
    <col min="12558" max="12558" width="13.875" bestFit="1" customWidth="1"/>
    <col min="12559" max="12559" width="14.125" bestFit="1" customWidth="1"/>
    <col min="12560" max="12560" width="17.5" customWidth="1"/>
    <col min="12561" max="12561" width="18.75" customWidth="1"/>
    <col min="12562" max="12562" width="22" customWidth="1"/>
    <col min="12563" max="12563" width="19.625" customWidth="1"/>
    <col min="12573" max="12573" width="7.5" customWidth="1"/>
    <col min="12801" max="12801" width="13.125" customWidth="1"/>
    <col min="12802" max="12802" width="22.375" customWidth="1"/>
    <col min="12803" max="12803" width="14" customWidth="1"/>
    <col min="12804" max="12804" width="12.75" customWidth="1"/>
    <col min="12805" max="12805" width="15.875" bestFit="1" customWidth="1"/>
    <col min="12806" max="12807" width="13.5" customWidth="1"/>
    <col min="12808" max="12808" width="14.25" bestFit="1" customWidth="1"/>
    <col min="12809" max="12809" width="16.125" customWidth="1"/>
    <col min="12810" max="12810" width="15.375" customWidth="1"/>
    <col min="12811" max="12811" width="16.25" customWidth="1"/>
    <col min="12812" max="12812" width="14.25" bestFit="1" customWidth="1"/>
    <col min="12813" max="12813" width="15.125" customWidth="1"/>
    <col min="12814" max="12814" width="13.875" bestFit="1" customWidth="1"/>
    <col min="12815" max="12815" width="14.125" bestFit="1" customWidth="1"/>
    <col min="12816" max="12816" width="17.5" customWidth="1"/>
    <col min="12817" max="12817" width="18.75" customWidth="1"/>
    <col min="12818" max="12818" width="22" customWidth="1"/>
    <col min="12819" max="12819" width="19.625" customWidth="1"/>
    <col min="12829" max="12829" width="7.5" customWidth="1"/>
    <col min="13057" max="13057" width="13.125" customWidth="1"/>
    <col min="13058" max="13058" width="22.375" customWidth="1"/>
    <col min="13059" max="13059" width="14" customWidth="1"/>
    <col min="13060" max="13060" width="12.75" customWidth="1"/>
    <col min="13061" max="13061" width="15.875" bestFit="1" customWidth="1"/>
    <col min="13062" max="13063" width="13.5" customWidth="1"/>
    <col min="13064" max="13064" width="14.25" bestFit="1" customWidth="1"/>
    <col min="13065" max="13065" width="16.125" customWidth="1"/>
    <col min="13066" max="13066" width="15.375" customWidth="1"/>
    <col min="13067" max="13067" width="16.25" customWidth="1"/>
    <col min="13068" max="13068" width="14.25" bestFit="1" customWidth="1"/>
    <col min="13069" max="13069" width="15.125" customWidth="1"/>
    <col min="13070" max="13070" width="13.875" bestFit="1" customWidth="1"/>
    <col min="13071" max="13071" width="14.125" bestFit="1" customWidth="1"/>
    <col min="13072" max="13072" width="17.5" customWidth="1"/>
    <col min="13073" max="13073" width="18.75" customWidth="1"/>
    <col min="13074" max="13074" width="22" customWidth="1"/>
    <col min="13075" max="13075" width="19.625" customWidth="1"/>
    <col min="13085" max="13085" width="7.5" customWidth="1"/>
    <col min="13313" max="13313" width="13.125" customWidth="1"/>
    <col min="13314" max="13314" width="22.375" customWidth="1"/>
    <col min="13315" max="13315" width="14" customWidth="1"/>
    <col min="13316" max="13316" width="12.75" customWidth="1"/>
    <col min="13317" max="13317" width="15.875" bestFit="1" customWidth="1"/>
    <col min="13318" max="13319" width="13.5" customWidth="1"/>
    <col min="13320" max="13320" width="14.25" bestFit="1" customWidth="1"/>
    <col min="13321" max="13321" width="16.125" customWidth="1"/>
    <col min="13322" max="13322" width="15.375" customWidth="1"/>
    <col min="13323" max="13323" width="16.25" customWidth="1"/>
    <col min="13324" max="13324" width="14.25" bestFit="1" customWidth="1"/>
    <col min="13325" max="13325" width="15.125" customWidth="1"/>
    <col min="13326" max="13326" width="13.875" bestFit="1" customWidth="1"/>
    <col min="13327" max="13327" width="14.125" bestFit="1" customWidth="1"/>
    <col min="13328" max="13328" width="17.5" customWidth="1"/>
    <col min="13329" max="13329" width="18.75" customWidth="1"/>
    <col min="13330" max="13330" width="22" customWidth="1"/>
    <col min="13331" max="13331" width="19.625" customWidth="1"/>
    <col min="13341" max="13341" width="7.5" customWidth="1"/>
    <col min="13569" max="13569" width="13.125" customWidth="1"/>
    <col min="13570" max="13570" width="22.375" customWidth="1"/>
    <col min="13571" max="13571" width="14" customWidth="1"/>
    <col min="13572" max="13572" width="12.75" customWidth="1"/>
    <col min="13573" max="13573" width="15.875" bestFit="1" customWidth="1"/>
    <col min="13574" max="13575" width="13.5" customWidth="1"/>
    <col min="13576" max="13576" width="14.25" bestFit="1" customWidth="1"/>
    <col min="13577" max="13577" width="16.125" customWidth="1"/>
    <col min="13578" max="13578" width="15.375" customWidth="1"/>
    <col min="13579" max="13579" width="16.25" customWidth="1"/>
    <col min="13580" max="13580" width="14.25" bestFit="1" customWidth="1"/>
    <col min="13581" max="13581" width="15.125" customWidth="1"/>
    <col min="13582" max="13582" width="13.875" bestFit="1" customWidth="1"/>
    <col min="13583" max="13583" width="14.125" bestFit="1" customWidth="1"/>
    <col min="13584" max="13584" width="17.5" customWidth="1"/>
    <col min="13585" max="13585" width="18.75" customWidth="1"/>
    <col min="13586" max="13586" width="22" customWidth="1"/>
    <col min="13587" max="13587" width="19.625" customWidth="1"/>
    <col min="13597" max="13597" width="7.5" customWidth="1"/>
    <col min="13825" max="13825" width="13.125" customWidth="1"/>
    <col min="13826" max="13826" width="22.375" customWidth="1"/>
    <col min="13827" max="13827" width="14" customWidth="1"/>
    <col min="13828" max="13828" width="12.75" customWidth="1"/>
    <col min="13829" max="13829" width="15.875" bestFit="1" customWidth="1"/>
    <col min="13830" max="13831" width="13.5" customWidth="1"/>
    <col min="13832" max="13832" width="14.25" bestFit="1" customWidth="1"/>
    <col min="13833" max="13833" width="16.125" customWidth="1"/>
    <col min="13834" max="13834" width="15.375" customWidth="1"/>
    <col min="13835" max="13835" width="16.25" customWidth="1"/>
    <col min="13836" max="13836" width="14.25" bestFit="1" customWidth="1"/>
    <col min="13837" max="13837" width="15.125" customWidth="1"/>
    <col min="13838" max="13838" width="13.875" bestFit="1" customWidth="1"/>
    <col min="13839" max="13839" width="14.125" bestFit="1" customWidth="1"/>
    <col min="13840" max="13840" width="17.5" customWidth="1"/>
    <col min="13841" max="13841" width="18.75" customWidth="1"/>
    <col min="13842" max="13842" width="22" customWidth="1"/>
    <col min="13843" max="13843" width="19.625" customWidth="1"/>
    <col min="13853" max="13853" width="7.5" customWidth="1"/>
    <col min="14081" max="14081" width="13.125" customWidth="1"/>
    <col min="14082" max="14082" width="22.375" customWidth="1"/>
    <col min="14083" max="14083" width="14" customWidth="1"/>
    <col min="14084" max="14084" width="12.75" customWidth="1"/>
    <col min="14085" max="14085" width="15.875" bestFit="1" customWidth="1"/>
    <col min="14086" max="14087" width="13.5" customWidth="1"/>
    <col min="14088" max="14088" width="14.25" bestFit="1" customWidth="1"/>
    <col min="14089" max="14089" width="16.125" customWidth="1"/>
    <col min="14090" max="14090" width="15.375" customWidth="1"/>
    <col min="14091" max="14091" width="16.25" customWidth="1"/>
    <col min="14092" max="14092" width="14.25" bestFit="1" customWidth="1"/>
    <col min="14093" max="14093" width="15.125" customWidth="1"/>
    <col min="14094" max="14094" width="13.875" bestFit="1" customWidth="1"/>
    <col min="14095" max="14095" width="14.125" bestFit="1" customWidth="1"/>
    <col min="14096" max="14096" width="17.5" customWidth="1"/>
    <col min="14097" max="14097" width="18.75" customWidth="1"/>
    <col min="14098" max="14098" width="22" customWidth="1"/>
    <col min="14099" max="14099" width="19.625" customWidth="1"/>
    <col min="14109" max="14109" width="7.5" customWidth="1"/>
    <col min="14337" max="14337" width="13.125" customWidth="1"/>
    <col min="14338" max="14338" width="22.375" customWidth="1"/>
    <col min="14339" max="14339" width="14" customWidth="1"/>
    <col min="14340" max="14340" width="12.75" customWidth="1"/>
    <col min="14341" max="14341" width="15.875" bestFit="1" customWidth="1"/>
    <col min="14342" max="14343" width="13.5" customWidth="1"/>
    <col min="14344" max="14344" width="14.25" bestFit="1" customWidth="1"/>
    <col min="14345" max="14345" width="16.125" customWidth="1"/>
    <col min="14346" max="14346" width="15.375" customWidth="1"/>
    <col min="14347" max="14347" width="16.25" customWidth="1"/>
    <col min="14348" max="14348" width="14.25" bestFit="1" customWidth="1"/>
    <col min="14349" max="14349" width="15.125" customWidth="1"/>
    <col min="14350" max="14350" width="13.875" bestFit="1" customWidth="1"/>
    <col min="14351" max="14351" width="14.125" bestFit="1" customWidth="1"/>
    <col min="14352" max="14352" width="17.5" customWidth="1"/>
    <col min="14353" max="14353" width="18.75" customWidth="1"/>
    <col min="14354" max="14354" width="22" customWidth="1"/>
    <col min="14355" max="14355" width="19.625" customWidth="1"/>
    <col min="14365" max="14365" width="7.5" customWidth="1"/>
    <col min="14593" max="14593" width="13.125" customWidth="1"/>
    <col min="14594" max="14594" width="22.375" customWidth="1"/>
    <col min="14595" max="14595" width="14" customWidth="1"/>
    <col min="14596" max="14596" width="12.75" customWidth="1"/>
    <col min="14597" max="14597" width="15.875" bestFit="1" customWidth="1"/>
    <col min="14598" max="14599" width="13.5" customWidth="1"/>
    <col min="14600" max="14600" width="14.25" bestFit="1" customWidth="1"/>
    <col min="14601" max="14601" width="16.125" customWidth="1"/>
    <col min="14602" max="14602" width="15.375" customWidth="1"/>
    <col min="14603" max="14603" width="16.25" customWidth="1"/>
    <col min="14604" max="14604" width="14.25" bestFit="1" customWidth="1"/>
    <col min="14605" max="14605" width="15.125" customWidth="1"/>
    <col min="14606" max="14606" width="13.875" bestFit="1" customWidth="1"/>
    <col min="14607" max="14607" width="14.125" bestFit="1" customWidth="1"/>
    <col min="14608" max="14608" width="17.5" customWidth="1"/>
    <col min="14609" max="14609" width="18.75" customWidth="1"/>
    <col min="14610" max="14610" width="22" customWidth="1"/>
    <col min="14611" max="14611" width="19.625" customWidth="1"/>
    <col min="14621" max="14621" width="7.5" customWidth="1"/>
    <col min="14849" max="14849" width="13.125" customWidth="1"/>
    <col min="14850" max="14850" width="22.375" customWidth="1"/>
    <col min="14851" max="14851" width="14" customWidth="1"/>
    <col min="14852" max="14852" width="12.75" customWidth="1"/>
    <col min="14853" max="14853" width="15.875" bestFit="1" customWidth="1"/>
    <col min="14854" max="14855" width="13.5" customWidth="1"/>
    <col min="14856" max="14856" width="14.25" bestFit="1" customWidth="1"/>
    <col min="14857" max="14857" width="16.125" customWidth="1"/>
    <col min="14858" max="14858" width="15.375" customWidth="1"/>
    <col min="14859" max="14859" width="16.25" customWidth="1"/>
    <col min="14860" max="14860" width="14.25" bestFit="1" customWidth="1"/>
    <col min="14861" max="14861" width="15.125" customWidth="1"/>
    <col min="14862" max="14862" width="13.875" bestFit="1" customWidth="1"/>
    <col min="14863" max="14863" width="14.125" bestFit="1" customWidth="1"/>
    <col min="14864" max="14864" width="17.5" customWidth="1"/>
    <col min="14865" max="14865" width="18.75" customWidth="1"/>
    <col min="14866" max="14866" width="22" customWidth="1"/>
    <col min="14867" max="14867" width="19.625" customWidth="1"/>
    <col min="14877" max="14877" width="7.5" customWidth="1"/>
    <col min="15105" max="15105" width="13.125" customWidth="1"/>
    <col min="15106" max="15106" width="22.375" customWidth="1"/>
    <col min="15107" max="15107" width="14" customWidth="1"/>
    <col min="15108" max="15108" width="12.75" customWidth="1"/>
    <col min="15109" max="15109" width="15.875" bestFit="1" customWidth="1"/>
    <col min="15110" max="15111" width="13.5" customWidth="1"/>
    <col min="15112" max="15112" width="14.25" bestFit="1" customWidth="1"/>
    <col min="15113" max="15113" width="16.125" customWidth="1"/>
    <col min="15114" max="15114" width="15.375" customWidth="1"/>
    <col min="15115" max="15115" width="16.25" customWidth="1"/>
    <col min="15116" max="15116" width="14.25" bestFit="1" customWidth="1"/>
    <col min="15117" max="15117" width="15.125" customWidth="1"/>
    <col min="15118" max="15118" width="13.875" bestFit="1" customWidth="1"/>
    <col min="15119" max="15119" width="14.125" bestFit="1" customWidth="1"/>
    <col min="15120" max="15120" width="17.5" customWidth="1"/>
    <col min="15121" max="15121" width="18.75" customWidth="1"/>
    <col min="15122" max="15122" width="22" customWidth="1"/>
    <col min="15123" max="15123" width="19.625" customWidth="1"/>
    <col min="15133" max="15133" width="7.5" customWidth="1"/>
    <col min="15361" max="15361" width="13.125" customWidth="1"/>
    <col min="15362" max="15362" width="22.375" customWidth="1"/>
    <col min="15363" max="15363" width="14" customWidth="1"/>
    <col min="15364" max="15364" width="12.75" customWidth="1"/>
    <col min="15365" max="15365" width="15.875" bestFit="1" customWidth="1"/>
    <col min="15366" max="15367" width="13.5" customWidth="1"/>
    <col min="15368" max="15368" width="14.25" bestFit="1" customWidth="1"/>
    <col min="15369" max="15369" width="16.125" customWidth="1"/>
    <col min="15370" max="15370" width="15.375" customWidth="1"/>
    <col min="15371" max="15371" width="16.25" customWidth="1"/>
    <col min="15372" max="15372" width="14.25" bestFit="1" customWidth="1"/>
    <col min="15373" max="15373" width="15.125" customWidth="1"/>
    <col min="15374" max="15374" width="13.875" bestFit="1" customWidth="1"/>
    <col min="15375" max="15375" width="14.125" bestFit="1" customWidth="1"/>
    <col min="15376" max="15376" width="17.5" customWidth="1"/>
    <col min="15377" max="15377" width="18.75" customWidth="1"/>
    <col min="15378" max="15378" width="22" customWidth="1"/>
    <col min="15379" max="15379" width="19.625" customWidth="1"/>
    <col min="15389" max="15389" width="7.5" customWidth="1"/>
    <col min="15617" max="15617" width="13.125" customWidth="1"/>
    <col min="15618" max="15618" width="22.375" customWidth="1"/>
    <col min="15619" max="15619" width="14" customWidth="1"/>
    <col min="15620" max="15620" width="12.75" customWidth="1"/>
    <col min="15621" max="15621" width="15.875" bestFit="1" customWidth="1"/>
    <col min="15622" max="15623" width="13.5" customWidth="1"/>
    <col min="15624" max="15624" width="14.25" bestFit="1" customWidth="1"/>
    <col min="15625" max="15625" width="16.125" customWidth="1"/>
    <col min="15626" max="15626" width="15.375" customWidth="1"/>
    <col min="15627" max="15627" width="16.25" customWidth="1"/>
    <col min="15628" max="15628" width="14.25" bestFit="1" customWidth="1"/>
    <col min="15629" max="15629" width="15.125" customWidth="1"/>
    <col min="15630" max="15630" width="13.875" bestFit="1" customWidth="1"/>
    <col min="15631" max="15631" width="14.125" bestFit="1" customWidth="1"/>
    <col min="15632" max="15632" width="17.5" customWidth="1"/>
    <col min="15633" max="15633" width="18.75" customWidth="1"/>
    <col min="15634" max="15634" width="22" customWidth="1"/>
    <col min="15635" max="15635" width="19.625" customWidth="1"/>
    <col min="15645" max="15645" width="7.5" customWidth="1"/>
    <col min="15873" max="15873" width="13.125" customWidth="1"/>
    <col min="15874" max="15874" width="22.375" customWidth="1"/>
    <col min="15875" max="15875" width="14" customWidth="1"/>
    <col min="15876" max="15876" width="12.75" customWidth="1"/>
    <col min="15877" max="15877" width="15.875" bestFit="1" customWidth="1"/>
    <col min="15878" max="15879" width="13.5" customWidth="1"/>
    <col min="15880" max="15880" width="14.25" bestFit="1" customWidth="1"/>
    <col min="15881" max="15881" width="16.125" customWidth="1"/>
    <col min="15882" max="15882" width="15.375" customWidth="1"/>
    <col min="15883" max="15883" width="16.25" customWidth="1"/>
    <col min="15884" max="15884" width="14.25" bestFit="1" customWidth="1"/>
    <col min="15885" max="15885" width="15.125" customWidth="1"/>
    <col min="15886" max="15886" width="13.875" bestFit="1" customWidth="1"/>
    <col min="15887" max="15887" width="14.125" bestFit="1" customWidth="1"/>
    <col min="15888" max="15888" width="17.5" customWidth="1"/>
    <col min="15889" max="15889" width="18.75" customWidth="1"/>
    <col min="15890" max="15890" width="22" customWidth="1"/>
    <col min="15891" max="15891" width="19.625" customWidth="1"/>
    <col min="15901" max="15901" width="7.5" customWidth="1"/>
    <col min="16129" max="16129" width="13.125" customWidth="1"/>
    <col min="16130" max="16130" width="22.375" customWidth="1"/>
    <col min="16131" max="16131" width="14" customWidth="1"/>
    <col min="16132" max="16132" width="12.75" customWidth="1"/>
    <col min="16133" max="16133" width="15.875" bestFit="1" customWidth="1"/>
    <col min="16134" max="16135" width="13.5" customWidth="1"/>
    <col min="16136" max="16136" width="14.25" bestFit="1" customWidth="1"/>
    <col min="16137" max="16137" width="16.125" customWidth="1"/>
    <col min="16138" max="16138" width="15.375" customWidth="1"/>
    <col min="16139" max="16139" width="16.25" customWidth="1"/>
    <col min="16140" max="16140" width="14.25" bestFit="1" customWidth="1"/>
    <col min="16141" max="16141" width="15.125" customWidth="1"/>
    <col min="16142" max="16142" width="13.875" bestFit="1" customWidth="1"/>
    <col min="16143" max="16143" width="14.125" bestFit="1" customWidth="1"/>
    <col min="16144" max="16144" width="17.5" customWidth="1"/>
    <col min="16145" max="16145" width="18.75" customWidth="1"/>
    <col min="16146" max="16146" width="22" customWidth="1"/>
    <col min="16147" max="16147" width="19.625" customWidth="1"/>
    <col min="16157" max="16157" width="7.5" customWidth="1"/>
  </cols>
  <sheetData>
    <row r="1" spans="1:18">
      <c r="A1" s="919" t="s">
        <v>39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919"/>
      <c r="O1" s="919"/>
    </row>
    <row r="2" spans="1:18" ht="18">
      <c r="A2" s="881" t="s">
        <v>40</v>
      </c>
      <c r="B2" s="881"/>
      <c r="C2" s="881"/>
      <c r="D2" s="881"/>
      <c r="E2" s="881"/>
      <c r="F2" s="881"/>
      <c r="G2" s="881"/>
      <c r="H2" s="881"/>
      <c r="I2" s="881"/>
      <c r="J2" s="881"/>
      <c r="K2" s="881"/>
      <c r="L2" s="881"/>
      <c r="M2" s="881"/>
      <c r="N2" s="881"/>
      <c r="O2" s="881"/>
    </row>
    <row r="3" spans="1:18">
      <c r="I3"/>
    </row>
    <row r="4" spans="1:18">
      <c r="A4" s="920" t="s">
        <v>595</v>
      </c>
      <c r="B4" s="920"/>
      <c r="C4" s="920"/>
      <c r="D4" s="920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</row>
    <row r="5" spans="1:18">
      <c r="A5" s="920" t="s">
        <v>183</v>
      </c>
      <c r="B5" s="920"/>
      <c r="C5" s="920"/>
      <c r="D5" s="920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0"/>
    </row>
    <row r="6" spans="1:18">
      <c r="A6" s="920" t="s">
        <v>184</v>
      </c>
      <c r="B6" s="920"/>
      <c r="C6" s="920"/>
      <c r="D6" s="920"/>
      <c r="E6" s="920"/>
      <c r="F6" s="920"/>
      <c r="G6" s="920"/>
      <c r="H6" s="920"/>
      <c r="I6" s="920"/>
      <c r="J6" s="920"/>
      <c r="K6" s="920"/>
      <c r="L6" s="920"/>
      <c r="M6" s="920"/>
      <c r="N6" s="920"/>
      <c r="O6" s="920"/>
      <c r="Q6" s="120"/>
    </row>
    <row r="7" spans="1:18" ht="16.5" thickBot="1"/>
    <row r="8" spans="1:18" s="43" customFormat="1" ht="36.75" customHeight="1" thickTop="1" thickBot="1">
      <c r="A8" s="918" t="s">
        <v>461</v>
      </c>
      <c r="B8" s="918"/>
      <c r="C8" s="122" t="s">
        <v>117</v>
      </c>
      <c r="D8" s="122" t="s">
        <v>118</v>
      </c>
      <c r="E8" s="122" t="s">
        <v>119</v>
      </c>
      <c r="F8" s="123" t="s">
        <v>120</v>
      </c>
      <c r="G8" s="123" t="s">
        <v>121</v>
      </c>
      <c r="H8" s="123" t="s">
        <v>122</v>
      </c>
      <c r="I8" s="123" t="s">
        <v>123</v>
      </c>
      <c r="J8" s="123" t="s">
        <v>124</v>
      </c>
      <c r="K8" s="123" t="s">
        <v>125</v>
      </c>
      <c r="L8" s="123" t="s">
        <v>126</v>
      </c>
      <c r="M8" s="783" t="s">
        <v>127</v>
      </c>
      <c r="N8" s="123" t="s">
        <v>128</v>
      </c>
      <c r="O8" s="124" t="s">
        <v>129</v>
      </c>
    </row>
    <row r="9" spans="1:18" ht="33" customHeight="1" thickBot="1">
      <c r="A9" s="125" t="s">
        <v>130</v>
      </c>
      <c r="B9" s="126" t="s">
        <v>131</v>
      </c>
      <c r="C9" s="127">
        <v>4568.5969999999998</v>
      </c>
      <c r="D9" s="547">
        <v>4071.194</v>
      </c>
      <c r="E9" s="561">
        <v>4442.5879999999997</v>
      </c>
      <c r="F9" s="561">
        <v>4234.1769999999997</v>
      </c>
      <c r="G9" s="658">
        <v>4467.7929999999997</v>
      </c>
      <c r="H9" s="856">
        <v>4454.232</v>
      </c>
      <c r="I9" s="561"/>
      <c r="J9" s="857"/>
      <c r="K9" s="857"/>
      <c r="L9" s="858"/>
      <c r="M9" s="787"/>
      <c r="N9" s="775"/>
      <c r="O9" s="128">
        <f>AVERAGE(C9:N9)</f>
        <v>4373.0968333333321</v>
      </c>
      <c r="P9" s="52">
        <f>SUM(C9:H9)/6</f>
        <v>4373.0968333333321</v>
      </c>
      <c r="Q9" s="52"/>
      <c r="R9" s="129"/>
    </row>
    <row r="10" spans="1:18" ht="18" customHeight="1" thickTop="1" thickBot="1">
      <c r="A10" s="911" t="s">
        <v>132</v>
      </c>
      <c r="B10" s="130" t="s">
        <v>133</v>
      </c>
      <c r="C10" s="131">
        <v>375.2</v>
      </c>
      <c r="D10" s="548">
        <v>335.24</v>
      </c>
      <c r="E10" s="562">
        <v>350.88</v>
      </c>
      <c r="F10" s="562">
        <v>328.44</v>
      </c>
      <c r="G10" s="659">
        <v>328.834</v>
      </c>
      <c r="H10" s="859">
        <v>349.14</v>
      </c>
      <c r="I10" s="562"/>
      <c r="J10" s="860"/>
      <c r="K10" s="860"/>
      <c r="L10" s="858"/>
      <c r="M10" s="788"/>
      <c r="N10" s="776"/>
      <c r="O10" s="132">
        <f t="shared" ref="O10:O16" si="0">AVERAGE(C10:N10)</f>
        <v>344.62233333333342</v>
      </c>
      <c r="P10" s="52">
        <f>SUM(C10:H10)/6</f>
        <v>344.62233333333342</v>
      </c>
      <c r="R10" s="129"/>
    </row>
    <row r="11" spans="1:18" ht="18" customHeight="1" thickTop="1" thickBot="1">
      <c r="A11" s="911"/>
      <c r="B11" s="73" t="s">
        <v>134</v>
      </c>
      <c r="C11" s="70">
        <v>697.17600000000004</v>
      </c>
      <c r="D11" s="549">
        <v>613.48099999999999</v>
      </c>
      <c r="E11" s="563">
        <v>529.22500000000002</v>
      </c>
      <c r="F11" s="563">
        <v>625.24300000000005</v>
      </c>
      <c r="G11" s="660">
        <v>619.19000000000005</v>
      </c>
      <c r="H11" s="861">
        <v>646.76499999999999</v>
      </c>
      <c r="I11" s="563"/>
      <c r="J11" s="862"/>
      <c r="K11" s="862"/>
      <c r="L11" s="858"/>
      <c r="M11" s="788"/>
      <c r="N11" s="777"/>
      <c r="O11" s="135">
        <f t="shared" si="0"/>
        <v>621.84666666666669</v>
      </c>
      <c r="P11" s="52">
        <f>SUM(C11:H11)/6</f>
        <v>621.84666666666669</v>
      </c>
      <c r="R11" s="129"/>
    </row>
    <row r="12" spans="1:18" ht="18" customHeight="1" thickTop="1" thickBot="1">
      <c r="A12" s="911"/>
      <c r="B12" s="136" t="s">
        <v>135</v>
      </c>
      <c r="C12" s="137">
        <f>+C9+C10+C11</f>
        <v>5640.973</v>
      </c>
      <c r="D12" s="137">
        <f>+D9+D10+D11</f>
        <v>5019.915</v>
      </c>
      <c r="E12" s="137">
        <f>+E9+E10+E11</f>
        <v>5322.6930000000002</v>
      </c>
      <c r="F12" s="137">
        <f t="shared" ref="F12" si="1">+F9+F10+F11</f>
        <v>5187.8599999999997</v>
      </c>
      <c r="G12" s="137">
        <f>+G9+G10+G11</f>
        <v>5415.8169999999991</v>
      </c>
      <c r="H12" s="137">
        <f>+H9+H10+H11</f>
        <v>5450.1370000000006</v>
      </c>
      <c r="I12" s="137">
        <f t="shared" ref="I12" si="2">+I9+I10+I11</f>
        <v>0</v>
      </c>
      <c r="J12" s="137"/>
      <c r="K12" s="137"/>
      <c r="L12" s="770"/>
      <c r="M12" s="789"/>
      <c r="N12" s="778"/>
      <c r="O12" s="138">
        <f t="shared" si="0"/>
        <v>4576.7707142857134</v>
      </c>
      <c r="P12" s="52">
        <f>SUM(C12:H12)/6</f>
        <v>5339.5658333333331</v>
      </c>
      <c r="R12" s="129"/>
    </row>
    <row r="13" spans="1:18" ht="18.75" customHeight="1" thickTop="1" thickBot="1">
      <c r="A13" s="911"/>
      <c r="B13" s="73" t="s">
        <v>136</v>
      </c>
      <c r="C13" s="70">
        <v>230.803</v>
      </c>
      <c r="D13" s="549">
        <v>211.55799999999999</v>
      </c>
      <c r="E13" s="563">
        <v>219.74199999999999</v>
      </c>
      <c r="F13" s="563">
        <v>221.458</v>
      </c>
      <c r="G13" s="661">
        <v>235.52600000000001</v>
      </c>
      <c r="H13" s="863">
        <v>239.434</v>
      </c>
      <c r="I13" s="562"/>
      <c r="J13" s="862"/>
      <c r="K13" s="862"/>
      <c r="L13" s="858"/>
      <c r="M13" s="788"/>
      <c r="N13" s="777"/>
      <c r="O13" s="135">
        <f t="shared" si="0"/>
        <v>226.42016666666666</v>
      </c>
      <c r="P13" s="52">
        <f>SUM(C13:H13)/6</f>
        <v>226.42016666666666</v>
      </c>
      <c r="R13" s="129"/>
    </row>
    <row r="14" spans="1:18" ht="18" customHeight="1" thickTop="1" thickBot="1">
      <c r="A14" s="911"/>
      <c r="B14" s="73" t="s">
        <v>138</v>
      </c>
      <c r="C14" s="70">
        <v>269.78100000000001</v>
      </c>
      <c r="D14" s="549">
        <v>248.80500000000001</v>
      </c>
      <c r="E14" s="563">
        <v>282.14400000000001</v>
      </c>
      <c r="F14" s="563">
        <v>264.83999999999997</v>
      </c>
      <c r="G14" s="660">
        <v>278.55599999999998</v>
      </c>
      <c r="H14" s="863">
        <v>272.52</v>
      </c>
      <c r="I14" s="562"/>
      <c r="J14" s="862"/>
      <c r="K14" s="862"/>
      <c r="L14" s="858"/>
      <c r="M14" s="788"/>
      <c r="N14" s="777"/>
      <c r="O14" s="135">
        <f t="shared" si="0"/>
        <v>269.44099999999997</v>
      </c>
      <c r="P14" s="52">
        <f>SUM(C10:C14)</f>
        <v>7213.933</v>
      </c>
      <c r="R14" s="129"/>
    </row>
    <row r="15" spans="1:18" ht="18" customHeight="1" thickTop="1" thickBot="1">
      <c r="A15" s="911"/>
      <c r="B15" s="73" t="s">
        <v>137</v>
      </c>
      <c r="C15" s="70">
        <v>257.11399999999998</v>
      </c>
      <c r="D15" s="549">
        <v>232.232</v>
      </c>
      <c r="E15" s="563">
        <v>257.11399999999998</v>
      </c>
      <c r="F15" s="563">
        <v>246.22800000000001</v>
      </c>
      <c r="G15" s="662">
        <v>257.09800000000001</v>
      </c>
      <c r="H15" s="864">
        <v>248.82</v>
      </c>
      <c r="I15" s="563"/>
      <c r="J15" s="862"/>
      <c r="K15" s="862"/>
      <c r="L15" s="858"/>
      <c r="M15" s="788"/>
      <c r="N15" s="777"/>
      <c r="O15" s="135">
        <f t="shared" si="0"/>
        <v>249.76766666666666</v>
      </c>
      <c r="P15" s="52">
        <f t="shared" ref="P15:P37" si="3">SUM(C15:H15)/6</f>
        <v>249.76766666666666</v>
      </c>
      <c r="R15" s="129"/>
    </row>
    <row r="16" spans="1:18" s="622" customFormat="1" ht="18" customHeight="1" thickTop="1">
      <c r="A16" s="911"/>
      <c r="B16" s="617" t="s">
        <v>185</v>
      </c>
      <c r="C16" s="618">
        <v>0</v>
      </c>
      <c r="D16" s="618">
        <v>0</v>
      </c>
      <c r="E16" s="618">
        <v>0</v>
      </c>
      <c r="F16" s="618">
        <v>0</v>
      </c>
      <c r="G16" s="618">
        <v>0</v>
      </c>
      <c r="H16" s="618">
        <v>0</v>
      </c>
      <c r="I16" s="618">
        <v>0</v>
      </c>
      <c r="J16" s="618">
        <v>0</v>
      </c>
      <c r="K16" s="619"/>
      <c r="L16" s="771"/>
      <c r="M16" s="790"/>
      <c r="N16" s="779"/>
      <c r="O16" s="620">
        <f t="shared" si="0"/>
        <v>0</v>
      </c>
      <c r="P16" s="621">
        <f t="shared" si="3"/>
        <v>0</v>
      </c>
      <c r="R16" s="623"/>
    </row>
    <row r="17" spans="1:20" s="142" customFormat="1" ht="24" customHeight="1">
      <c r="A17" s="139"/>
      <c r="B17" s="140" t="s">
        <v>139</v>
      </c>
      <c r="C17" s="101">
        <f>+SUM(C10:C11)+SUM(C13:C16)</f>
        <v>1830.0740000000001</v>
      </c>
      <c r="D17" s="101">
        <f>+SUM(D10:D11)+SUM(D13:D16)</f>
        <v>1641.316</v>
      </c>
      <c r="E17" s="101">
        <f t="shared" ref="E17:J17" si="4">+SUM(E10:E11)+SUM(E13:E16)</f>
        <v>1639.105</v>
      </c>
      <c r="F17" s="101">
        <f t="shared" si="4"/>
        <v>1686.2090000000001</v>
      </c>
      <c r="G17" s="101">
        <f t="shared" si="4"/>
        <v>1719.2040000000002</v>
      </c>
      <c r="H17" s="101">
        <f t="shared" si="4"/>
        <v>1756.6789999999999</v>
      </c>
      <c r="I17" s="101">
        <f t="shared" si="4"/>
        <v>0</v>
      </c>
      <c r="J17" s="101">
        <f t="shared" si="4"/>
        <v>0</v>
      </c>
      <c r="K17" s="101"/>
      <c r="L17" s="772"/>
      <c r="M17" s="791"/>
      <c r="N17" s="780"/>
      <c r="O17" s="101">
        <f>+SUM(O10:O11)+SUM(O13:O16)</f>
        <v>1712.0978333333333</v>
      </c>
      <c r="P17" s="52">
        <f t="shared" si="3"/>
        <v>1712.0978333333335</v>
      </c>
      <c r="R17" s="143"/>
    </row>
    <row r="18" spans="1:20" ht="18" customHeight="1">
      <c r="A18" s="144"/>
      <c r="B18" s="73" t="s">
        <v>140</v>
      </c>
      <c r="C18" s="70">
        <v>1343.02</v>
      </c>
      <c r="D18" s="70">
        <v>1220.299</v>
      </c>
      <c r="E18" s="133">
        <v>1189.4000000000001</v>
      </c>
      <c r="F18" s="133">
        <v>1160.2909999999999</v>
      </c>
      <c r="G18" s="663">
        <v>1102.3209999999999</v>
      </c>
      <c r="H18" s="70">
        <v>1186.998</v>
      </c>
      <c r="I18" s="133"/>
      <c r="J18" s="134"/>
      <c r="K18" s="134"/>
      <c r="L18" s="773"/>
      <c r="M18" s="788"/>
      <c r="N18" s="781"/>
      <c r="O18" s="132">
        <f>AVERAGE(C18:N18)</f>
        <v>1200.3881666666666</v>
      </c>
      <c r="P18" s="52">
        <f t="shared" si="3"/>
        <v>1200.3881666666666</v>
      </c>
      <c r="R18" s="129"/>
    </row>
    <row r="19" spans="1:20" ht="18" customHeight="1">
      <c r="A19" s="912" t="s">
        <v>186</v>
      </c>
      <c r="B19" s="73" t="s">
        <v>141</v>
      </c>
      <c r="C19" s="70">
        <v>111.52500000000001</v>
      </c>
      <c r="D19" s="70">
        <v>100.52</v>
      </c>
      <c r="E19" s="133">
        <v>114.04</v>
      </c>
      <c r="F19" s="133">
        <v>110.63</v>
      </c>
      <c r="G19" s="660">
        <v>110.4</v>
      </c>
      <c r="H19" s="70">
        <v>104.62</v>
      </c>
      <c r="I19" s="133"/>
      <c r="J19" s="134"/>
      <c r="K19" s="134"/>
      <c r="L19" s="773"/>
      <c r="M19" s="788"/>
      <c r="N19" s="781"/>
      <c r="O19" s="132">
        <f>AVERAGE(C19:N19)</f>
        <v>108.6225</v>
      </c>
      <c r="P19" s="52">
        <f t="shared" si="3"/>
        <v>108.6225</v>
      </c>
      <c r="R19" s="129"/>
    </row>
    <row r="20" spans="1:20" ht="18" customHeight="1">
      <c r="A20" s="912"/>
      <c r="B20" s="73" t="s">
        <v>142</v>
      </c>
      <c r="C20" s="70"/>
      <c r="D20" s="70"/>
      <c r="E20" s="133"/>
      <c r="F20" s="133"/>
      <c r="G20" s="134"/>
      <c r="H20" s="70"/>
      <c r="I20" s="133"/>
      <c r="J20" s="134"/>
      <c r="K20" s="134"/>
      <c r="L20" s="773"/>
      <c r="M20" s="788"/>
      <c r="N20" s="781"/>
      <c r="O20" s="135" t="e">
        <f>AVERAGE(C20:N20)</f>
        <v>#DIV/0!</v>
      </c>
      <c r="P20" s="52">
        <f t="shared" si="3"/>
        <v>0</v>
      </c>
      <c r="R20" s="129"/>
    </row>
    <row r="21" spans="1:20" ht="18" customHeight="1" thickBot="1">
      <c r="A21" s="912"/>
      <c r="B21" s="73" t="s">
        <v>143</v>
      </c>
      <c r="C21" s="70">
        <v>297.14999999999998</v>
      </c>
      <c r="D21" s="70">
        <v>275.8</v>
      </c>
      <c r="E21" s="133">
        <v>307.31</v>
      </c>
      <c r="F21" s="133">
        <v>334.85</v>
      </c>
      <c r="G21" s="664">
        <v>348.97</v>
      </c>
      <c r="H21" s="70">
        <v>339.57</v>
      </c>
      <c r="I21" s="133"/>
      <c r="J21" s="134"/>
      <c r="K21" s="134"/>
      <c r="L21" s="773"/>
      <c r="M21" s="788"/>
      <c r="N21" s="781"/>
      <c r="O21" s="132">
        <f>AVERAGE(C21:N21)</f>
        <v>317.27500000000003</v>
      </c>
      <c r="P21" s="52">
        <f t="shared" si="3"/>
        <v>317.27500000000003</v>
      </c>
      <c r="R21" s="129"/>
    </row>
    <row r="22" spans="1:20" s="142" customFormat="1" ht="21" customHeight="1" thickBot="1">
      <c r="A22" s="139"/>
      <c r="B22" s="140" t="s">
        <v>144</v>
      </c>
      <c r="C22" s="101">
        <f>SUM(C18:C21)</f>
        <v>1751.6950000000002</v>
      </c>
      <c r="D22" s="101">
        <f>SUM(D18:D21)</f>
        <v>1596.6189999999999</v>
      </c>
      <c r="E22" s="101">
        <f t="shared" ref="E22:J22" si="5">SUM(E18:E21)</f>
        <v>1610.75</v>
      </c>
      <c r="F22" s="101">
        <f t="shared" si="5"/>
        <v>1605.7709999999997</v>
      </c>
      <c r="G22" s="101">
        <f t="shared" si="5"/>
        <v>1561.691</v>
      </c>
      <c r="H22" s="101">
        <f t="shared" si="5"/>
        <v>1631.1879999999999</v>
      </c>
      <c r="I22" s="101">
        <f t="shared" si="5"/>
        <v>0</v>
      </c>
      <c r="J22" s="101">
        <f t="shared" si="5"/>
        <v>0</v>
      </c>
      <c r="K22" s="141"/>
      <c r="L22" s="774"/>
      <c r="M22" s="792"/>
      <c r="N22" s="782"/>
      <c r="O22" s="101" t="e">
        <f>SUM(O18:O21)</f>
        <v>#DIV/0!</v>
      </c>
      <c r="P22" s="52">
        <f t="shared" si="3"/>
        <v>1626.2856666666667</v>
      </c>
      <c r="R22" s="143"/>
    </row>
    <row r="23" spans="1:20" ht="18" customHeight="1">
      <c r="A23" s="913" t="s">
        <v>146</v>
      </c>
      <c r="B23" s="73" t="s">
        <v>596</v>
      </c>
      <c r="C23" s="70">
        <v>68.02</v>
      </c>
      <c r="D23" s="70">
        <v>62.459000000000003</v>
      </c>
      <c r="E23" s="133">
        <v>130.721</v>
      </c>
      <c r="F23" s="133">
        <v>46.988</v>
      </c>
      <c r="G23" s="665">
        <v>57.771999999999998</v>
      </c>
      <c r="H23" s="70">
        <v>74.882000000000005</v>
      </c>
      <c r="I23" s="133"/>
      <c r="J23" s="134"/>
      <c r="K23" s="134"/>
      <c r="L23" s="773"/>
      <c r="M23" s="788"/>
      <c r="N23" s="781"/>
      <c r="O23" s="132">
        <f t="shared" ref="O23:O28" si="6">AVERAGE(C23:N23)</f>
        <v>73.473666666666659</v>
      </c>
      <c r="P23" s="52">
        <f t="shared" si="3"/>
        <v>73.473666666666659</v>
      </c>
      <c r="R23" s="129"/>
    </row>
    <row r="24" spans="1:20" ht="18" customHeight="1">
      <c r="A24" s="913"/>
      <c r="B24" s="73" t="s">
        <v>597</v>
      </c>
      <c r="C24" s="70">
        <v>58.491999999999997</v>
      </c>
      <c r="D24" s="70">
        <v>50.396000000000001</v>
      </c>
      <c r="E24" s="133">
        <v>42.366</v>
      </c>
      <c r="F24" s="133">
        <v>56.776000000000003</v>
      </c>
      <c r="G24" s="801">
        <v>48.982999999999997</v>
      </c>
      <c r="H24" s="70">
        <v>40.100999999999999</v>
      </c>
      <c r="I24" s="133"/>
      <c r="J24" s="134"/>
      <c r="K24" s="134"/>
      <c r="L24" s="773"/>
      <c r="M24" s="788"/>
      <c r="N24" s="781"/>
      <c r="O24" s="132">
        <f t="shared" si="6"/>
        <v>49.519000000000005</v>
      </c>
      <c r="P24" s="52">
        <f t="shared" si="3"/>
        <v>49.519000000000005</v>
      </c>
      <c r="R24" s="129"/>
    </row>
    <row r="25" spans="1:20" ht="18" customHeight="1">
      <c r="A25" s="913" t="s">
        <v>146</v>
      </c>
      <c r="B25" s="73" t="s">
        <v>147</v>
      </c>
      <c r="C25" s="70">
        <v>180.88399999999999</v>
      </c>
      <c r="D25" s="70">
        <v>169.721</v>
      </c>
      <c r="E25" s="133">
        <v>211.898</v>
      </c>
      <c r="F25" s="133">
        <v>190.828</v>
      </c>
      <c r="G25" s="134">
        <v>178.131</v>
      </c>
      <c r="H25" s="70">
        <v>186.58500000000001</v>
      </c>
      <c r="I25" s="133"/>
      <c r="J25" s="134"/>
      <c r="K25" s="134"/>
      <c r="L25" s="773"/>
      <c r="M25" s="788"/>
      <c r="N25" s="781"/>
      <c r="O25" s="132">
        <f t="shared" si="6"/>
        <v>186.34116666666668</v>
      </c>
      <c r="P25" s="52">
        <f t="shared" si="3"/>
        <v>186.34116666666668</v>
      </c>
      <c r="R25" s="129"/>
    </row>
    <row r="26" spans="1:20" ht="18" customHeight="1">
      <c r="A26" s="913"/>
      <c r="B26" s="73" t="s">
        <v>148</v>
      </c>
      <c r="C26" s="70">
        <v>105.83499999999999</v>
      </c>
      <c r="D26" s="70">
        <v>122.23</v>
      </c>
      <c r="E26" s="133">
        <v>136.72200000000001</v>
      </c>
      <c r="F26" s="133">
        <v>117.944</v>
      </c>
      <c r="G26" s="134">
        <v>116.259</v>
      </c>
      <c r="H26" s="70">
        <v>126.97499999999999</v>
      </c>
      <c r="I26" s="133"/>
      <c r="J26" s="134"/>
      <c r="K26" s="134"/>
      <c r="L26" s="773"/>
      <c r="M26" s="788"/>
      <c r="N26" s="781"/>
      <c r="O26" s="132">
        <f t="shared" si="6"/>
        <v>120.99416666666667</v>
      </c>
      <c r="P26" s="52">
        <f t="shared" si="3"/>
        <v>120.99416666666667</v>
      </c>
      <c r="R26" s="129"/>
    </row>
    <row r="27" spans="1:20" ht="18" customHeight="1">
      <c r="A27" s="913"/>
      <c r="B27" s="73" t="s">
        <v>149</v>
      </c>
      <c r="C27" s="70">
        <v>63.36</v>
      </c>
      <c r="D27" s="70">
        <v>61.581000000000003</v>
      </c>
      <c r="E27" s="133">
        <v>70.278999999999996</v>
      </c>
      <c r="F27" s="133">
        <v>72.284000000000006</v>
      </c>
      <c r="G27" s="134">
        <v>74.328000000000003</v>
      </c>
      <c r="H27" s="70">
        <v>67.945999999999998</v>
      </c>
      <c r="I27" s="133"/>
      <c r="J27" s="134"/>
      <c r="K27" s="134"/>
      <c r="L27" s="773"/>
      <c r="M27" s="788"/>
      <c r="N27" s="781"/>
      <c r="O27" s="132">
        <f t="shared" si="6"/>
        <v>68.296333333333337</v>
      </c>
      <c r="P27" s="52">
        <f t="shared" si="3"/>
        <v>68.296333333333337</v>
      </c>
      <c r="R27" s="145"/>
      <c r="S27" s="52"/>
      <c r="T27" s="52"/>
    </row>
    <row r="28" spans="1:20" ht="18" customHeight="1">
      <c r="A28" s="913"/>
      <c r="B28" s="73" t="s">
        <v>138</v>
      </c>
      <c r="C28" s="70">
        <v>1354.9469999999999</v>
      </c>
      <c r="D28" s="70">
        <v>1240.1500000000001</v>
      </c>
      <c r="E28" s="133">
        <v>1394.0650000000001</v>
      </c>
      <c r="F28" s="133">
        <v>1327.636</v>
      </c>
      <c r="G28" s="134">
        <v>1331.491</v>
      </c>
      <c r="H28" s="70">
        <v>1236.8040000000001</v>
      </c>
      <c r="I28" s="133"/>
      <c r="J28" s="134"/>
      <c r="K28" s="134"/>
      <c r="L28" s="773"/>
      <c r="M28" s="788"/>
      <c r="N28" s="781"/>
      <c r="O28" s="132">
        <f t="shared" si="6"/>
        <v>1314.1821666666667</v>
      </c>
      <c r="P28" s="52">
        <f t="shared" si="3"/>
        <v>1314.1821666666667</v>
      </c>
      <c r="R28" s="145"/>
      <c r="S28" s="146"/>
    </row>
    <row r="29" spans="1:20" s="142" customFormat="1" ht="24" customHeight="1" thickBot="1">
      <c r="A29" s="139"/>
      <c r="B29" s="140" t="s">
        <v>150</v>
      </c>
      <c r="C29" s="101">
        <f>SUM(C23:C28)</f>
        <v>1831.5379999999998</v>
      </c>
      <c r="D29" s="101">
        <f>SUM(D23:D28)</f>
        <v>1706.5370000000003</v>
      </c>
      <c r="E29" s="101">
        <f t="shared" ref="E29:J29" si="7">SUM(E23:E28)</f>
        <v>1986.0509999999999</v>
      </c>
      <c r="F29" s="101">
        <f t="shared" si="7"/>
        <v>1812.4559999999999</v>
      </c>
      <c r="G29" s="101">
        <f t="shared" si="7"/>
        <v>1806.9639999999999</v>
      </c>
      <c r="H29" s="101">
        <f t="shared" si="7"/>
        <v>1733.2930000000001</v>
      </c>
      <c r="I29" s="101">
        <f t="shared" si="7"/>
        <v>0</v>
      </c>
      <c r="J29" s="101">
        <f t="shared" si="7"/>
        <v>0</v>
      </c>
      <c r="K29" s="141"/>
      <c r="L29" s="774"/>
      <c r="M29" s="792"/>
      <c r="N29" s="782"/>
      <c r="O29" s="147">
        <f>SUM(O23:O28)</f>
        <v>1812.8065000000001</v>
      </c>
      <c r="P29" s="52">
        <f t="shared" si="3"/>
        <v>1812.8064999999999</v>
      </c>
      <c r="R29" s="148"/>
    </row>
    <row r="30" spans="1:20" ht="18" customHeight="1">
      <c r="A30" s="144"/>
      <c r="B30" s="73" t="s">
        <v>151</v>
      </c>
      <c r="C30" s="70">
        <v>721.92</v>
      </c>
      <c r="D30" s="70">
        <v>648.75</v>
      </c>
      <c r="E30" s="133">
        <v>755.42</v>
      </c>
      <c r="F30" s="133">
        <v>688.08</v>
      </c>
      <c r="G30" s="666">
        <v>699.83</v>
      </c>
      <c r="H30" s="70">
        <v>743.15</v>
      </c>
      <c r="I30" s="133"/>
      <c r="J30" s="134"/>
      <c r="K30" s="134"/>
      <c r="L30" s="773"/>
      <c r="M30" s="788"/>
      <c r="N30" s="781"/>
      <c r="O30" s="135">
        <f>AVERAGE(C30:N30)</f>
        <v>709.52499999999998</v>
      </c>
      <c r="P30" s="52">
        <f t="shared" si="3"/>
        <v>709.52499999999998</v>
      </c>
      <c r="R30" s="149"/>
    </row>
    <row r="31" spans="1:20" ht="18" customHeight="1">
      <c r="A31" s="914" t="s">
        <v>152</v>
      </c>
      <c r="B31" s="73" t="s">
        <v>153</v>
      </c>
      <c r="C31" s="70">
        <v>0</v>
      </c>
      <c r="D31" s="70"/>
      <c r="E31" s="70"/>
      <c r="F31" s="70"/>
      <c r="G31" s="134"/>
      <c r="H31" s="70"/>
      <c r="I31" s="133"/>
      <c r="J31" s="134"/>
      <c r="K31" s="134"/>
      <c r="L31" s="773"/>
      <c r="M31" s="788"/>
      <c r="N31" s="781"/>
      <c r="O31" s="132">
        <f>AVERAGE(C31:N31)</f>
        <v>0</v>
      </c>
      <c r="P31" s="52">
        <f t="shared" si="3"/>
        <v>0</v>
      </c>
      <c r="R31" s="129"/>
    </row>
    <row r="32" spans="1:20" ht="18" customHeight="1">
      <c r="A32" s="914"/>
      <c r="B32" s="73" t="s">
        <v>154</v>
      </c>
      <c r="C32" s="70"/>
      <c r="D32" s="70"/>
      <c r="E32" s="133"/>
      <c r="F32" s="133"/>
      <c r="G32" s="134"/>
      <c r="H32" s="70"/>
      <c r="I32" s="133"/>
      <c r="J32" s="134"/>
      <c r="K32" s="134"/>
      <c r="L32" s="773"/>
      <c r="M32" s="788"/>
      <c r="N32" s="781"/>
      <c r="O32" s="132">
        <v>0</v>
      </c>
      <c r="P32" s="52">
        <f t="shared" si="3"/>
        <v>0</v>
      </c>
    </row>
    <row r="33" spans="1:19" ht="18" customHeight="1">
      <c r="A33" s="914"/>
      <c r="B33" s="73" t="s">
        <v>155</v>
      </c>
      <c r="C33" s="70">
        <v>718.66</v>
      </c>
      <c r="D33" s="70">
        <v>617.48</v>
      </c>
      <c r="E33" s="133">
        <v>658.78</v>
      </c>
      <c r="F33" s="133">
        <v>654.13</v>
      </c>
      <c r="G33" s="660">
        <v>678.63</v>
      </c>
      <c r="H33" s="70">
        <v>555.30999999999995</v>
      </c>
      <c r="I33" s="52"/>
      <c r="J33" s="134"/>
      <c r="K33" s="134"/>
      <c r="L33" s="773"/>
      <c r="M33" s="788"/>
      <c r="N33" s="781"/>
      <c r="O33" s="132">
        <f>AVERAGE(C33:N33)</f>
        <v>647.16499999999996</v>
      </c>
      <c r="P33" s="52">
        <f t="shared" si="3"/>
        <v>647.16499999999996</v>
      </c>
    </row>
    <row r="34" spans="1:19" ht="18" customHeight="1">
      <c r="A34" s="914"/>
      <c r="B34" s="73" t="s">
        <v>156</v>
      </c>
      <c r="C34" s="70"/>
      <c r="D34" s="70"/>
      <c r="E34" s="133"/>
      <c r="F34" s="133"/>
      <c r="G34" s="134"/>
      <c r="H34" s="70"/>
      <c r="I34" s="133"/>
      <c r="J34" s="134"/>
      <c r="K34" s="134"/>
      <c r="L34" s="773"/>
      <c r="M34" s="788"/>
      <c r="N34" s="781"/>
      <c r="O34" s="135">
        <v>0</v>
      </c>
      <c r="P34" s="52">
        <f t="shared" si="3"/>
        <v>0</v>
      </c>
      <c r="S34" s="14"/>
    </row>
    <row r="35" spans="1:19" ht="18" customHeight="1">
      <c r="A35" s="914"/>
      <c r="B35" s="73" t="s">
        <v>157</v>
      </c>
      <c r="C35" s="70"/>
      <c r="D35" s="70"/>
      <c r="E35" s="133"/>
      <c r="F35" s="133"/>
      <c r="G35" s="134"/>
      <c r="H35" s="70"/>
      <c r="I35" s="133"/>
      <c r="J35" s="134"/>
      <c r="K35" s="134"/>
      <c r="L35" s="773"/>
      <c r="M35" s="788"/>
      <c r="N35" s="781"/>
      <c r="O35" s="135">
        <v>0</v>
      </c>
      <c r="P35" s="52">
        <f t="shared" si="3"/>
        <v>0</v>
      </c>
    </row>
    <row r="36" spans="1:19" ht="18" customHeight="1">
      <c r="A36" s="150"/>
      <c r="B36" s="73" t="s">
        <v>158</v>
      </c>
      <c r="C36" s="70">
        <v>2611.902</v>
      </c>
      <c r="D36" s="70">
        <v>2459.837</v>
      </c>
      <c r="E36" s="133">
        <v>2497.652</v>
      </c>
      <c r="F36" s="133">
        <v>2355.52</v>
      </c>
      <c r="G36" s="667">
        <v>2259.1819999999998</v>
      </c>
      <c r="H36" s="70">
        <v>2371.9560000000001</v>
      </c>
      <c r="I36" s="134"/>
      <c r="J36" s="134"/>
      <c r="K36" s="134"/>
      <c r="L36" s="773"/>
      <c r="M36" s="788"/>
      <c r="N36" s="781"/>
      <c r="O36" s="132">
        <f>AVERAGE(C36:N36)</f>
        <v>2426.008166666667</v>
      </c>
      <c r="P36" s="52">
        <f t="shared" si="3"/>
        <v>2426.008166666667</v>
      </c>
    </row>
    <row r="37" spans="1:19" ht="18" customHeight="1" thickBot="1">
      <c r="A37" s="150"/>
      <c r="B37" s="73" t="s">
        <v>138</v>
      </c>
      <c r="C37" s="70">
        <v>48.2</v>
      </c>
      <c r="D37" s="70">
        <v>41.13</v>
      </c>
      <c r="E37" s="133">
        <v>44.994</v>
      </c>
      <c r="F37" s="133">
        <v>50.11</v>
      </c>
      <c r="G37" s="664">
        <v>46.86</v>
      </c>
      <c r="H37" s="70">
        <v>47.49</v>
      </c>
      <c r="I37" s="133"/>
      <c r="J37" s="134"/>
      <c r="K37" s="134"/>
      <c r="L37" s="773"/>
      <c r="M37" s="788"/>
      <c r="N37" s="781"/>
      <c r="O37" s="132">
        <f>AVERAGE(C37:N37)</f>
        <v>46.464000000000006</v>
      </c>
      <c r="P37" s="52">
        <f t="shared" si="3"/>
        <v>46.464000000000006</v>
      </c>
    </row>
    <row r="38" spans="1:19" s="142" customFormat="1" ht="27.75" customHeight="1">
      <c r="A38" s="139"/>
      <c r="B38" s="140" t="s">
        <v>159</v>
      </c>
      <c r="C38" s="101">
        <f>SUM(C30:C37)</f>
        <v>4100.6819999999998</v>
      </c>
      <c r="D38" s="101">
        <f>SUM(D30:D37)</f>
        <v>3767.1970000000001</v>
      </c>
      <c r="E38" s="101">
        <f t="shared" ref="E38:K38" si="8">SUM(E30:E37)</f>
        <v>3956.846</v>
      </c>
      <c r="F38" s="101">
        <f t="shared" si="8"/>
        <v>3747.84</v>
      </c>
      <c r="G38" s="101">
        <f t="shared" si="8"/>
        <v>3684.502</v>
      </c>
      <c r="H38" s="101">
        <f t="shared" si="8"/>
        <v>3717.9059999999999</v>
      </c>
      <c r="I38" s="101">
        <f t="shared" si="8"/>
        <v>0</v>
      </c>
      <c r="J38" s="101">
        <f t="shared" si="8"/>
        <v>0</v>
      </c>
      <c r="K38" s="101">
        <f t="shared" si="8"/>
        <v>0</v>
      </c>
      <c r="L38" s="774"/>
      <c r="M38" s="793"/>
      <c r="N38" s="782"/>
      <c r="O38" s="101">
        <f>SUM(O30:O37)</f>
        <v>3829.162166666667</v>
      </c>
      <c r="P38" s="52"/>
      <c r="Q38" s="152"/>
      <c r="R38" s="153"/>
    </row>
    <row r="39" spans="1:19" hidden="1">
      <c r="A39" s="154"/>
      <c r="B39" s="73" t="s">
        <v>160</v>
      </c>
      <c r="C39" s="70">
        <f t="shared" ref="C39:K39" si="9">+C40-C12</f>
        <v>8441.6129999999994</v>
      </c>
      <c r="D39" s="70">
        <f t="shared" si="9"/>
        <v>7762.9479999999994</v>
      </c>
      <c r="E39" s="133">
        <f t="shared" si="9"/>
        <v>8312.6470000000008</v>
      </c>
      <c r="F39" s="133">
        <f t="shared" si="9"/>
        <v>7898.5929999999998</v>
      </c>
      <c r="G39" s="134">
        <f t="shared" si="9"/>
        <v>7824.3370000000014</v>
      </c>
      <c r="H39" s="70">
        <f t="shared" si="9"/>
        <v>7843.1610000000001</v>
      </c>
      <c r="I39" s="133">
        <f t="shared" si="9"/>
        <v>0</v>
      </c>
      <c r="J39" s="134">
        <f t="shared" si="9"/>
        <v>0</v>
      </c>
      <c r="K39" s="134">
        <f t="shared" si="9"/>
        <v>0</v>
      </c>
      <c r="L39" s="773"/>
      <c r="M39" s="794"/>
      <c r="N39" s="785"/>
      <c r="O39" s="135">
        <f>AVERAGE(C39:N39)</f>
        <v>5342.588777777778</v>
      </c>
      <c r="P39" s="52">
        <f>SUM(C39:H39)/6</f>
        <v>8013.8831666666665</v>
      </c>
    </row>
    <row r="40" spans="1:19" s="159" customFormat="1" ht="34.5" customHeight="1" thickBot="1">
      <c r="A40" s="915" t="s">
        <v>161</v>
      </c>
      <c r="B40" s="915"/>
      <c r="C40" s="155">
        <f>+C38+C29+C22+C17+C9</f>
        <v>14082.585999999999</v>
      </c>
      <c r="D40" s="156">
        <f>+D38+D29+D22+D17+D9</f>
        <v>12782.862999999999</v>
      </c>
      <c r="E40" s="155">
        <f t="shared" ref="E40:O40" si="10">+E38+E29+E22+E17+E9</f>
        <v>13635.34</v>
      </c>
      <c r="F40" s="155">
        <f t="shared" si="10"/>
        <v>13086.453</v>
      </c>
      <c r="G40" s="155">
        <f t="shared" si="10"/>
        <v>13240.154</v>
      </c>
      <c r="H40" s="157">
        <f>+H38+H29+H22+H17+H9</f>
        <v>13293.298000000001</v>
      </c>
      <c r="I40" s="156">
        <f>+I38+I29+I22+I17+I9</f>
        <v>0</v>
      </c>
      <c r="J40" s="155">
        <f t="shared" si="10"/>
        <v>0</v>
      </c>
      <c r="K40" s="155">
        <f t="shared" si="10"/>
        <v>0</v>
      </c>
      <c r="L40" s="784">
        <f>+L38+L29+L22+L17+L9</f>
        <v>0</v>
      </c>
      <c r="M40" s="795">
        <f>+M38+M29+M22+M17+M9</f>
        <v>0</v>
      </c>
      <c r="N40" s="786">
        <f>+N38+N29+N22+N17+N9</f>
        <v>0</v>
      </c>
      <c r="O40" s="157" t="e">
        <f t="shared" si="10"/>
        <v>#DIV/0!</v>
      </c>
      <c r="P40" s="52" t="e">
        <f>+O40*1000000</f>
        <v>#DIV/0!</v>
      </c>
      <c r="Q40" s="158">
        <f>+J40/30</f>
        <v>0</v>
      </c>
      <c r="R40" s="158" t="e">
        <f>+O40*1000000</f>
        <v>#DIV/0!</v>
      </c>
      <c r="S40" s="158">
        <f>+Q40/264</f>
        <v>0</v>
      </c>
    </row>
    <row r="41" spans="1:19" ht="14.25" customHeight="1" thickTop="1">
      <c r="C41" t="s">
        <v>106</v>
      </c>
      <c r="H41" s="4"/>
      <c r="N41" s="108"/>
      <c r="O41" s="108" t="s">
        <v>106</v>
      </c>
      <c r="P41" s="52">
        <f>SUM(C40:N40)</f>
        <v>80120.694000000003</v>
      </c>
    </row>
    <row r="42" spans="1:19">
      <c r="H42" s="4"/>
      <c r="N42" s="108"/>
      <c r="O42" s="108"/>
      <c r="P42" s="14">
        <f>+P41*1000000</f>
        <v>80120694000</v>
      </c>
    </row>
    <row r="43" spans="1:19" ht="18.75" customHeight="1" thickBot="1">
      <c r="A43" t="s">
        <v>162</v>
      </c>
      <c r="H43" s="4"/>
      <c r="N43" s="160"/>
      <c r="O43" s="108"/>
      <c r="P43" s="14">
        <f>+P42/264</f>
        <v>303487477.27272725</v>
      </c>
      <c r="Q43" s="14">
        <f>SUM(C40:J40)*1000000</f>
        <v>80120694000</v>
      </c>
    </row>
    <row r="44" spans="1:19" ht="21.75" customHeight="1" thickTop="1">
      <c r="A44" s="917" t="s">
        <v>163</v>
      </c>
      <c r="B44" s="917"/>
      <c r="C44" s="161" t="s">
        <v>117</v>
      </c>
      <c r="D44" s="161" t="s">
        <v>118</v>
      </c>
      <c r="E44" s="162" t="s">
        <v>119</v>
      </c>
      <c r="F44" s="162" t="s">
        <v>120</v>
      </c>
      <c r="G44" s="161" t="s">
        <v>121</v>
      </c>
      <c r="H44" s="677" t="s">
        <v>122</v>
      </c>
      <c r="I44" s="164" t="s">
        <v>123</v>
      </c>
      <c r="J44" s="163" t="s">
        <v>124</v>
      </c>
      <c r="K44" s="163" t="s">
        <v>125</v>
      </c>
      <c r="L44" s="163" t="s">
        <v>126</v>
      </c>
      <c r="M44" s="163" t="s">
        <v>127</v>
      </c>
      <c r="N44" s="161" t="s">
        <v>128</v>
      </c>
      <c r="O44" s="165" t="s">
        <v>49</v>
      </c>
      <c r="Q44" s="14">
        <f>+Q43/264</f>
        <v>303487477.27272725</v>
      </c>
    </row>
    <row r="45" spans="1:19" ht="19.5" customHeight="1">
      <c r="A45" s="166" t="s">
        <v>164</v>
      </c>
      <c r="B45" s="167"/>
      <c r="C45" s="168">
        <f>+C9+C13+C18</f>
        <v>6142.42</v>
      </c>
      <c r="D45" s="168">
        <f>+D9+D13+D18</f>
        <v>5503.0510000000004</v>
      </c>
      <c r="E45" s="169">
        <f t="shared" ref="E45:O45" si="11">+E9+E13+E18</f>
        <v>5851.73</v>
      </c>
      <c r="F45" s="169">
        <f t="shared" si="11"/>
        <v>5615.9259999999995</v>
      </c>
      <c r="G45" s="168">
        <f t="shared" si="11"/>
        <v>5805.6399999999994</v>
      </c>
      <c r="H45" s="168">
        <f t="shared" si="11"/>
        <v>5880.6640000000007</v>
      </c>
      <c r="I45" s="168">
        <f t="shared" si="11"/>
        <v>0</v>
      </c>
      <c r="J45" s="170">
        <f t="shared" si="11"/>
        <v>0</v>
      </c>
      <c r="K45" s="170">
        <f t="shared" si="11"/>
        <v>0</v>
      </c>
      <c r="L45" s="170">
        <f t="shared" si="11"/>
        <v>0</v>
      </c>
      <c r="M45" s="170">
        <f t="shared" si="11"/>
        <v>0</v>
      </c>
      <c r="N45" s="168">
        <f t="shared" si="11"/>
        <v>0</v>
      </c>
      <c r="O45" s="168">
        <f t="shared" si="11"/>
        <v>5799.9051666666655</v>
      </c>
    </row>
    <row r="46" spans="1:19" ht="17.25" customHeight="1" thickBot="1">
      <c r="A46" s="171" t="s">
        <v>165</v>
      </c>
      <c r="B46" s="172"/>
      <c r="C46" s="86">
        <f>+C40-C45</f>
        <v>7940.1659999999993</v>
      </c>
      <c r="D46" s="86">
        <f>+D40-D45</f>
        <v>7279.811999999999</v>
      </c>
      <c r="E46" s="173">
        <f t="shared" ref="E46:N46" si="12">+E40-E45</f>
        <v>7783.6100000000006</v>
      </c>
      <c r="F46" s="173">
        <f t="shared" si="12"/>
        <v>7470.527</v>
      </c>
      <c r="G46" s="86">
        <f t="shared" si="12"/>
        <v>7434.514000000001</v>
      </c>
      <c r="H46" s="86">
        <f t="shared" si="12"/>
        <v>7412.634</v>
      </c>
      <c r="I46" s="86">
        <f t="shared" si="12"/>
        <v>0</v>
      </c>
      <c r="J46" s="174">
        <f t="shared" si="12"/>
        <v>0</v>
      </c>
      <c r="K46" s="174">
        <f t="shared" si="12"/>
        <v>0</v>
      </c>
      <c r="L46" s="174">
        <f t="shared" si="12"/>
        <v>0</v>
      </c>
      <c r="M46" s="174">
        <f t="shared" si="12"/>
        <v>0</v>
      </c>
      <c r="N46" s="86">
        <f t="shared" si="12"/>
        <v>0</v>
      </c>
      <c r="O46" s="87">
        <f>SUM(C46:N46)/12</f>
        <v>3776.7719166666666</v>
      </c>
    </row>
    <row r="47" spans="1:19" ht="16.5" thickTop="1">
      <c r="N47" s="108"/>
      <c r="O47" s="108"/>
    </row>
    <row r="48" spans="1:19">
      <c r="D48" s="14"/>
    </row>
    <row r="49" spans="2:18">
      <c r="D49" t="s">
        <v>106</v>
      </c>
      <c r="H49" t="s">
        <v>106</v>
      </c>
      <c r="L49" s="175"/>
    </row>
    <row r="50" spans="2:18">
      <c r="C50" t="s">
        <v>106</v>
      </c>
      <c r="D50" t="s">
        <v>187</v>
      </c>
      <c r="E50" s="117" t="s">
        <v>188</v>
      </c>
      <c r="F50" s="117" t="s">
        <v>189</v>
      </c>
      <c r="G50" t="s">
        <v>190</v>
      </c>
      <c r="O50" s="52"/>
      <c r="P50">
        <f>+O50/24</f>
        <v>0</v>
      </c>
      <c r="R50" t="e">
        <f>+(O40*1000000)/264</f>
        <v>#DIV/0!</v>
      </c>
    </row>
    <row r="51" spans="2:18">
      <c r="B51" t="s">
        <v>191</v>
      </c>
      <c r="C51" s="176">
        <f>+SUM(C29:J29)+SUM(C38:J38)</f>
        <v>33851.811999999998</v>
      </c>
      <c r="D51" s="177">
        <f>+C51*1000000</f>
        <v>33851811999.999996</v>
      </c>
      <c r="E51" s="178">
        <f>+D51/264</f>
        <v>128226560.60606059</v>
      </c>
      <c r="F51" s="178">
        <f>+E51/8</f>
        <v>16028320.075757574</v>
      </c>
      <c r="G51" s="177">
        <f>+D51/8</f>
        <v>4231476499.9999995</v>
      </c>
      <c r="P51">
        <f>+P50/22.827</f>
        <v>0</v>
      </c>
      <c r="R51" s="14" t="e">
        <f>+R50*0.37</f>
        <v>#DIV/0!</v>
      </c>
    </row>
    <row r="52" spans="2:18">
      <c r="B52" t="s">
        <v>192</v>
      </c>
      <c r="C52" s="176">
        <f>SUM(C9:J9)+SUM(C17:J17)+SUM(C22:J22)</f>
        <v>46268.881999999998</v>
      </c>
      <c r="D52" s="177">
        <f>+C52*1000000</f>
        <v>46268882000</v>
      </c>
      <c r="E52" s="178">
        <f>+D52/264</f>
        <v>175260916.66666666</v>
      </c>
      <c r="F52" s="178">
        <f>+E52/8</f>
        <v>21907614.583333332</v>
      </c>
      <c r="G52" s="177">
        <f>+D52/8</f>
        <v>5783610250</v>
      </c>
      <c r="I52" s="25"/>
    </row>
    <row r="53" spans="2:18">
      <c r="C53" t="s">
        <v>106</v>
      </c>
      <c r="E53" s="117" t="s">
        <v>106</v>
      </c>
      <c r="I53" s="14"/>
    </row>
    <row r="54" spans="2:18">
      <c r="D54" s="25"/>
    </row>
    <row r="55" spans="2:18">
      <c r="B55" t="s">
        <v>193</v>
      </c>
      <c r="C55" s="52">
        <f>+C9+C17+C22</f>
        <v>8150.366</v>
      </c>
      <c r="D55" s="52">
        <f t="shared" ref="D55:I55" si="13">+D9+D17+D22</f>
        <v>7309.1289999999999</v>
      </c>
      <c r="E55" s="117">
        <f t="shared" si="13"/>
        <v>7692.4429999999993</v>
      </c>
      <c r="F55" s="117">
        <f t="shared" si="13"/>
        <v>7526.1569999999992</v>
      </c>
      <c r="G55" s="118">
        <f t="shared" si="13"/>
        <v>7748.6879999999992</v>
      </c>
      <c r="H55" s="118">
        <f t="shared" si="13"/>
        <v>7842.0990000000002</v>
      </c>
      <c r="I55" s="118">
        <f t="shared" si="13"/>
        <v>0</v>
      </c>
      <c r="K55" s="916"/>
      <c r="L55" s="916"/>
      <c r="M55" s="916"/>
      <c r="N55" s="916"/>
      <c r="O55" s="916"/>
    </row>
    <row r="56" spans="2:18">
      <c r="B56" t="s">
        <v>194</v>
      </c>
      <c r="C56" s="52">
        <f t="shared" ref="C56:I56" si="14">+C38+C29</f>
        <v>5932.2199999999993</v>
      </c>
      <c r="D56" s="52">
        <f t="shared" si="14"/>
        <v>5473.7340000000004</v>
      </c>
      <c r="E56" s="117">
        <f t="shared" si="14"/>
        <v>5942.8969999999999</v>
      </c>
      <c r="F56" s="117">
        <f t="shared" si="14"/>
        <v>5560.2960000000003</v>
      </c>
      <c r="G56" s="118">
        <f t="shared" si="14"/>
        <v>5491.4660000000003</v>
      </c>
      <c r="H56" s="118">
        <f t="shared" si="14"/>
        <v>5451.1990000000005</v>
      </c>
      <c r="I56" s="118">
        <f t="shared" si="14"/>
        <v>0</v>
      </c>
      <c r="O56" s="14"/>
    </row>
    <row r="57" spans="2:18">
      <c r="C57" s="52">
        <f t="shared" ref="C57:I57" si="15">SUM(C55:C56)</f>
        <v>14082.585999999999</v>
      </c>
      <c r="D57" s="52">
        <f t="shared" si="15"/>
        <v>12782.863000000001</v>
      </c>
      <c r="E57" s="117">
        <f t="shared" si="15"/>
        <v>13635.34</v>
      </c>
      <c r="F57" s="117">
        <f t="shared" si="15"/>
        <v>13086.453</v>
      </c>
      <c r="G57" s="118">
        <f t="shared" si="15"/>
        <v>13240.153999999999</v>
      </c>
      <c r="H57" s="118">
        <f t="shared" si="15"/>
        <v>13293.298000000001</v>
      </c>
      <c r="I57" s="118">
        <f t="shared" si="15"/>
        <v>0</v>
      </c>
    </row>
    <row r="62" spans="2:18">
      <c r="C62" s="52">
        <f>+I40</f>
        <v>0</v>
      </c>
      <c r="D62" s="25">
        <f>+C62*1000000</f>
        <v>0</v>
      </c>
      <c r="E62" s="117">
        <f>+D62/264</f>
        <v>0</v>
      </c>
    </row>
    <row r="65" spans="3:15">
      <c r="C65" s="52">
        <f>+C9+C10+C11+C13+C18+C36</f>
        <v>9826.6980000000003</v>
      </c>
      <c r="D65" s="52">
        <f t="shared" ref="D65:J65" si="16">+D9+D10+D11+D13+D18+D36</f>
        <v>8911.6090000000004</v>
      </c>
      <c r="E65" s="117">
        <f t="shared" si="16"/>
        <v>9229.487000000001</v>
      </c>
      <c r="F65" s="117">
        <f t="shared" si="16"/>
        <v>8925.128999999999</v>
      </c>
      <c r="G65" s="52">
        <f t="shared" si="16"/>
        <v>9012.8459999999977</v>
      </c>
      <c r="H65" s="52">
        <f t="shared" si="16"/>
        <v>9248.5250000000015</v>
      </c>
      <c r="I65" s="52">
        <f>+I9+I10+I11+I13+I18+I36</f>
        <v>0</v>
      </c>
      <c r="J65" s="118">
        <f t="shared" si="16"/>
        <v>0</v>
      </c>
      <c r="K65" s="118">
        <f>+K9+K10+K11+K13+K18+K36</f>
        <v>0</v>
      </c>
      <c r="L65" s="118">
        <f>+L9+L10+L11+L13+L18+L36</f>
        <v>0</v>
      </c>
      <c r="M65" s="118">
        <f>+M9+M10+M11+M13+M18+M36</f>
        <v>0</v>
      </c>
      <c r="N65" s="52">
        <f>+N9+N10+N11+N13+N18+N36</f>
        <v>0</v>
      </c>
      <c r="O65" s="52">
        <f>+O9+O10+O11+O13+O18+O36</f>
        <v>9192.382333333333</v>
      </c>
    </row>
    <row r="66" spans="3:15">
      <c r="C66" s="52">
        <f>+C40-C65</f>
        <v>4255.887999999999</v>
      </c>
      <c r="D66" s="52">
        <f t="shared" ref="D66:J66" si="17">+D40-D65</f>
        <v>3871.253999999999</v>
      </c>
      <c r="E66" s="117">
        <f t="shared" si="17"/>
        <v>4405.8529999999992</v>
      </c>
      <c r="F66" s="117">
        <f t="shared" si="17"/>
        <v>4161.3240000000005</v>
      </c>
      <c r="G66" s="52">
        <f t="shared" si="17"/>
        <v>4227.3080000000027</v>
      </c>
      <c r="H66" s="52">
        <f t="shared" si="17"/>
        <v>4044.7729999999992</v>
      </c>
      <c r="I66" s="52">
        <f t="shared" si="17"/>
        <v>0</v>
      </c>
      <c r="J66" s="118">
        <f t="shared" si="17"/>
        <v>0</v>
      </c>
      <c r="K66" s="118">
        <f>+K40-K65</f>
        <v>0</v>
      </c>
      <c r="L66" s="118">
        <f>+L40-L65</f>
        <v>0</v>
      </c>
      <c r="M66" s="118">
        <f>+M40-M65</f>
        <v>0</v>
      </c>
      <c r="N66" s="52">
        <f>+N40-N65</f>
        <v>0</v>
      </c>
      <c r="O66" s="52" t="e">
        <f>+O40-O65</f>
        <v>#DIV/0!</v>
      </c>
    </row>
    <row r="69" spans="3:15">
      <c r="I69" s="14">
        <f>AVERAGE(C66:L66)</f>
        <v>2496.6400000000003</v>
      </c>
      <c r="J69" s="118">
        <f>AVERAGE(C65:L65)</f>
        <v>5515.4294</v>
      </c>
      <c r="K69" s="118">
        <f>AVERAGE(C40:L40)</f>
        <v>8012.0694000000003</v>
      </c>
    </row>
    <row r="70" spans="3:15">
      <c r="I70" s="25">
        <f>+I69*1000000</f>
        <v>2496640000.0000005</v>
      </c>
      <c r="J70" s="118">
        <f>+J69*1000000</f>
        <v>5515429400</v>
      </c>
      <c r="K70" s="118">
        <f>+K69*1000000</f>
        <v>8012069400</v>
      </c>
    </row>
    <row r="71" spans="3:15">
      <c r="I71" s="25">
        <f>+I70/264</f>
        <v>9456969.6969696991</v>
      </c>
      <c r="J71" s="118">
        <f>+J70/264</f>
        <v>20891778.030303031</v>
      </c>
      <c r="K71" s="118">
        <f>+K70/264</f>
        <v>30348747.727272727</v>
      </c>
    </row>
    <row r="72" spans="3:15">
      <c r="J72" s="118">
        <f>+'[2]FACTURACION (2022'!AN50</f>
        <v>0</v>
      </c>
      <c r="K72" s="118">
        <f>+'[2]FACTURACION (2022'!AO50</f>
        <v>0.5175688558198317</v>
      </c>
    </row>
    <row r="73" spans="3:15">
      <c r="J73" s="118">
        <f>+J71-J72</f>
        <v>20891778.030303031</v>
      </c>
      <c r="K73" s="118">
        <f>+K71-K72</f>
        <v>30348747.20970387</v>
      </c>
    </row>
    <row r="74" spans="3:15">
      <c r="E74" s="117">
        <f>AVERAGE(C40:E40)*1000000</f>
        <v>13500263000</v>
      </c>
    </row>
    <row r="75" spans="3:15">
      <c r="E75" s="117">
        <f>+E74/264</f>
        <v>51137359.848484851</v>
      </c>
    </row>
    <row r="79" spans="3:15">
      <c r="D79">
        <f>236.45+20</f>
        <v>256.45</v>
      </c>
    </row>
    <row r="80" spans="3:15">
      <c r="D80">
        <f>+D79/2</f>
        <v>128.22499999999999</v>
      </c>
    </row>
    <row r="81" spans="4:13">
      <c r="D81">
        <f>+D80*38</f>
        <v>4872.55</v>
      </c>
    </row>
    <row r="83" spans="4:13">
      <c r="K83" s="118">
        <f>+K84/60</f>
        <v>1.3108515712682378E-2</v>
      </c>
      <c r="L83" s="118" t="s">
        <v>195</v>
      </c>
    </row>
    <row r="84" spans="4:13">
      <c r="K84" s="118">
        <f>+K85/60</f>
        <v>0.78651094276094269</v>
      </c>
      <c r="L84" s="118" t="s">
        <v>196</v>
      </c>
    </row>
    <row r="85" spans="4:13">
      <c r="K85" s="118">
        <f>+K86/24</f>
        <v>47.19065656565656</v>
      </c>
      <c r="L85" s="118" t="s">
        <v>197</v>
      </c>
    </row>
    <row r="86" spans="4:13">
      <c r="K86" s="118">
        <f>+K87/264</f>
        <v>1132.5757575757575</v>
      </c>
      <c r="L86" s="118" t="s">
        <v>198</v>
      </c>
    </row>
    <row r="87" spans="4:13" ht="16.5" thickBot="1">
      <c r="K87" s="118">
        <v>299000</v>
      </c>
      <c r="L87" s="118" t="s">
        <v>199</v>
      </c>
      <c r="M87" s="118">
        <f>+K87/1000000</f>
        <v>0.29899999999999999</v>
      </c>
    </row>
    <row r="88" spans="4:13">
      <c r="D88" s="179"/>
      <c r="E88" s="180"/>
      <c r="G88">
        <f>+D89/1000</f>
        <v>2.99</v>
      </c>
      <c r="H88" s="14"/>
      <c r="K88" s="118">
        <f>+K87/86400</f>
        <v>3.4606481481481484</v>
      </c>
      <c r="L88" s="118" t="s">
        <v>200</v>
      </c>
      <c r="M88" s="118">
        <f>+M87/22.827</f>
        <v>1.3098523678100493E-2</v>
      </c>
    </row>
    <row r="89" spans="4:13">
      <c r="D89" s="181">
        <v>2990</v>
      </c>
      <c r="E89" s="182" t="s">
        <v>201</v>
      </c>
      <c r="F89" s="117">
        <v>41350</v>
      </c>
      <c r="H89">
        <v>500</v>
      </c>
      <c r="I89" s="121" t="s">
        <v>202</v>
      </c>
      <c r="K89" s="118">
        <f>+K88*60</f>
        <v>207.63888888888891</v>
      </c>
    </row>
    <row r="90" spans="4:13">
      <c r="D90" s="181" t="s">
        <v>203</v>
      </c>
      <c r="E90" s="182">
        <v>0.26417210000000002</v>
      </c>
      <c r="F90" s="117">
        <f>+F89/264</f>
        <v>156.62878787878788</v>
      </c>
      <c r="G90" s="183">
        <f>+F90/86400</f>
        <v>1.8128331930415264E-3</v>
      </c>
      <c r="I90" s="14">
        <f>+H89*60</f>
        <v>30000</v>
      </c>
      <c r="J90" s="118" t="s">
        <v>204</v>
      </c>
    </row>
    <row r="91" spans="4:13">
      <c r="D91" s="181">
        <f>+D89*E90</f>
        <v>789.87457900000004</v>
      </c>
      <c r="E91" s="182" t="s">
        <v>200</v>
      </c>
      <c r="F91" s="117">
        <f>+F89/86400</f>
        <v>0.47858796296296297</v>
      </c>
      <c r="J91" s="118">
        <f>+I90*24</f>
        <v>720000</v>
      </c>
      <c r="K91" s="118" t="s">
        <v>199</v>
      </c>
    </row>
    <row r="92" spans="4:13">
      <c r="D92" s="184">
        <f>+D91*86400</f>
        <v>68245163.62560001</v>
      </c>
      <c r="E92" s="182" t="s">
        <v>205</v>
      </c>
    </row>
    <row r="93" spans="4:13" ht="16.5" thickBot="1">
      <c r="D93" s="185"/>
      <c r="E93" s="186"/>
      <c r="F93" s="117">
        <f>+F89/24</f>
        <v>1722.9166666666667</v>
      </c>
    </row>
    <row r="94" spans="4:13">
      <c r="D94" s="14"/>
      <c r="F94" s="117">
        <f>+F93/60</f>
        <v>28.715277777777779</v>
      </c>
    </row>
    <row r="95" spans="4:13">
      <c r="D95">
        <f>+D91/24</f>
        <v>32.911440791666671</v>
      </c>
      <c r="F95" s="117">
        <f>+F94/60</f>
        <v>0.47858796296296297</v>
      </c>
    </row>
    <row r="96" spans="4:13">
      <c r="D96">
        <f>+D95/60</f>
        <v>0.54852401319444455</v>
      </c>
    </row>
    <row r="98" spans="4:15">
      <c r="D98" s="14">
        <f>+D92/1000000</f>
        <v>68.245163625600014</v>
      </c>
      <c r="E98" s="117" t="s">
        <v>206</v>
      </c>
    </row>
    <row r="99" spans="4:15">
      <c r="D99" s="14">
        <f>+D98/22.827</f>
        <v>2.989668533999212</v>
      </c>
      <c r="F99" s="117">
        <v>17</v>
      </c>
      <c r="G99" t="s">
        <v>195</v>
      </c>
    </row>
    <row r="100" spans="4:15">
      <c r="F100" s="117">
        <f>+F99*22.827</f>
        <v>388.05900000000003</v>
      </c>
      <c r="G100" t="s">
        <v>206</v>
      </c>
    </row>
    <row r="106" spans="4:15">
      <c r="J106" s="118">
        <f>AVERAGE(C40:K40)-AVERAGE(C38:K38)</f>
        <v>6349.5245555555566</v>
      </c>
      <c r="K106" s="118">
        <f>+J106*1000000</f>
        <v>6349524555.5555563</v>
      </c>
      <c r="L106" s="118" t="s">
        <v>207</v>
      </c>
    </row>
    <row r="107" spans="4:15">
      <c r="K107" s="187">
        <v>1165487</v>
      </c>
    </row>
    <row r="108" spans="4:15">
      <c r="K108" s="118">
        <f>+K106/K107</f>
        <v>5447.9582831516409</v>
      </c>
      <c r="L108" s="118">
        <f>+K108/31</f>
        <v>175.74058977908518</v>
      </c>
      <c r="N108" s="14"/>
      <c r="O108" s="52"/>
    </row>
    <row r="109" spans="4:15">
      <c r="K109" s="118">
        <f>+L109*31</f>
        <v>3852.0417168483591</v>
      </c>
      <c r="L109" s="118">
        <f>300-L108</f>
        <v>124.25941022091482</v>
      </c>
      <c r="N109" s="14"/>
      <c r="O109" s="14"/>
    </row>
    <row r="110" spans="4:15">
      <c r="H110" s="14"/>
      <c r="K110" s="118">
        <f>+K109*K107</f>
        <v>4489504544.4444437</v>
      </c>
      <c r="N110" s="188"/>
      <c r="O110" s="52"/>
    </row>
    <row r="111" spans="4:15">
      <c r="H111" s="14"/>
      <c r="I111" s="14"/>
      <c r="K111" s="189">
        <f>+K110+K106</f>
        <v>10839029100</v>
      </c>
    </row>
    <row r="123" spans="1:7" ht="16.5" thickBot="1">
      <c r="A123" s="125" t="s">
        <v>130</v>
      </c>
      <c r="B123" s="126" t="s">
        <v>131</v>
      </c>
      <c r="C123" s="127">
        <v>149.77500000000001</v>
      </c>
      <c r="E123" s="611" t="s">
        <v>457</v>
      </c>
      <c r="F123" s="627" t="s">
        <v>458</v>
      </c>
      <c r="G123" s="612" t="s">
        <v>459</v>
      </c>
    </row>
    <row r="124" spans="1:7" ht="17.25" thickTop="1" thickBot="1">
      <c r="A124" s="911" t="s">
        <v>132</v>
      </c>
      <c r="B124" s="130" t="s">
        <v>133</v>
      </c>
      <c r="C124" s="131">
        <v>11.711</v>
      </c>
      <c r="E124" s="597" t="s">
        <v>116</v>
      </c>
      <c r="F124" s="628"/>
      <c r="G124" s="607" t="s">
        <v>456</v>
      </c>
    </row>
    <row r="125" spans="1:7" ht="17.25" thickTop="1" thickBot="1">
      <c r="A125" s="911"/>
      <c r="B125" s="73" t="s">
        <v>134</v>
      </c>
      <c r="C125" s="70">
        <v>18.573</v>
      </c>
      <c r="E125" s="598" t="s">
        <v>130</v>
      </c>
      <c r="F125" s="133" t="s">
        <v>131</v>
      </c>
      <c r="G125" s="608">
        <v>155.22</v>
      </c>
    </row>
    <row r="126" spans="1:7" ht="17.25" thickTop="1" thickBot="1">
      <c r="A126" s="911"/>
      <c r="B126" s="136" t="s">
        <v>135</v>
      </c>
      <c r="C126" s="137">
        <f>+C123+C124+C125</f>
        <v>180.05900000000003</v>
      </c>
      <c r="E126" s="599"/>
      <c r="F126" s="133" t="s">
        <v>133</v>
      </c>
      <c r="G126" s="608">
        <v>18.260000000000002</v>
      </c>
    </row>
    <row r="127" spans="1:7" ht="33" thickTop="1" thickBot="1">
      <c r="A127" s="911"/>
      <c r="B127" s="73" t="s">
        <v>136</v>
      </c>
      <c r="C127" s="70">
        <v>7.4169999999999998</v>
      </c>
      <c r="E127" s="600" t="s">
        <v>132</v>
      </c>
      <c r="F127" s="133" t="s">
        <v>134</v>
      </c>
      <c r="G127" s="608">
        <v>27.39</v>
      </c>
    </row>
    <row r="128" spans="1:7" ht="17.25" thickTop="1" thickBot="1">
      <c r="A128" s="911"/>
      <c r="B128" s="73" t="s">
        <v>138</v>
      </c>
      <c r="C128" s="70">
        <v>10.319000000000001</v>
      </c>
      <c r="E128" s="601"/>
      <c r="F128" s="133" t="s">
        <v>136</v>
      </c>
      <c r="G128" s="608">
        <v>11.5</v>
      </c>
    </row>
    <row r="129" spans="1:7" ht="17.25" thickTop="1" thickBot="1">
      <c r="A129" s="911"/>
      <c r="B129" s="73" t="s">
        <v>137</v>
      </c>
      <c r="C129" s="70">
        <v>3.7440000000000002</v>
      </c>
      <c r="E129" s="601"/>
      <c r="F129" s="133" t="s">
        <v>460</v>
      </c>
      <c r="G129" s="608">
        <v>11.708</v>
      </c>
    </row>
    <row r="130" spans="1:7" ht="16.5" thickTop="1">
      <c r="A130" s="911"/>
      <c r="B130" s="73" t="s">
        <v>185</v>
      </c>
      <c r="C130" s="70">
        <v>0</v>
      </c>
      <c r="E130" s="602"/>
      <c r="F130" s="133" t="s">
        <v>138</v>
      </c>
      <c r="G130" s="608">
        <v>10.034000000000001</v>
      </c>
    </row>
    <row r="131" spans="1:7">
      <c r="A131" s="139"/>
      <c r="B131" s="140" t="s">
        <v>139</v>
      </c>
      <c r="C131" s="101">
        <f>+SUM(C124:C125)+SUM(C127:C130)</f>
        <v>51.763999999999996</v>
      </c>
      <c r="E131" s="603"/>
      <c r="F131" s="629" t="s">
        <v>139</v>
      </c>
      <c r="G131" s="609">
        <f>SUM(G126:G130)</f>
        <v>78.89200000000001</v>
      </c>
    </row>
    <row r="132" spans="1:7">
      <c r="A132" s="144"/>
      <c r="B132" s="73" t="s">
        <v>140</v>
      </c>
      <c r="C132" s="70">
        <v>57.09</v>
      </c>
      <c r="E132" s="599"/>
      <c r="F132" s="133" t="s">
        <v>140</v>
      </c>
      <c r="G132" s="608">
        <v>91</v>
      </c>
    </row>
    <row r="133" spans="1:7">
      <c r="A133" s="912" t="s">
        <v>186</v>
      </c>
      <c r="B133" s="73" t="s">
        <v>141</v>
      </c>
      <c r="C133" s="70">
        <v>0.81899999999999995</v>
      </c>
      <c r="E133" s="600"/>
      <c r="F133" s="133" t="s">
        <v>141</v>
      </c>
      <c r="G133" s="608">
        <v>5.3330000000000002</v>
      </c>
    </row>
    <row r="134" spans="1:7">
      <c r="A134" s="912"/>
      <c r="B134" s="73" t="s">
        <v>142</v>
      </c>
      <c r="C134" s="70"/>
      <c r="E134" s="602"/>
      <c r="F134" s="133" t="s">
        <v>143</v>
      </c>
      <c r="G134" s="608">
        <v>9.8000000000000007</v>
      </c>
    </row>
    <row r="135" spans="1:7">
      <c r="A135" s="912"/>
      <c r="B135" s="73" t="s">
        <v>143</v>
      </c>
      <c r="C135" s="70">
        <v>11.792</v>
      </c>
      <c r="E135" s="603"/>
      <c r="F135" s="629" t="s">
        <v>144</v>
      </c>
      <c r="G135" s="609">
        <f>SUM(G132:G134)</f>
        <v>106.133</v>
      </c>
    </row>
    <row r="136" spans="1:7">
      <c r="A136" s="139"/>
      <c r="B136" s="140" t="s">
        <v>144</v>
      </c>
      <c r="C136" s="101">
        <f>SUM(C132:C135)</f>
        <v>69.701000000000008</v>
      </c>
      <c r="E136" s="604" t="s">
        <v>146</v>
      </c>
      <c r="F136" s="133" t="s">
        <v>145</v>
      </c>
      <c r="G136" s="608">
        <f>6.14+3.38</f>
        <v>9.52</v>
      </c>
    </row>
    <row r="137" spans="1:7">
      <c r="A137" s="913" t="s">
        <v>146</v>
      </c>
      <c r="B137" s="73" t="s">
        <v>145</v>
      </c>
      <c r="C137" s="70">
        <f>0.734+1.776</f>
        <v>2.5099999999999998</v>
      </c>
      <c r="E137" s="604" t="s">
        <v>146</v>
      </c>
      <c r="F137" s="133" t="s">
        <v>147</v>
      </c>
      <c r="G137" s="608">
        <v>7.4219999999999997</v>
      </c>
    </row>
    <row r="138" spans="1:7">
      <c r="A138" s="913" t="s">
        <v>146</v>
      </c>
      <c r="B138" s="73" t="s">
        <v>147</v>
      </c>
      <c r="C138" s="70">
        <v>5.7320000000000002</v>
      </c>
      <c r="E138" s="604"/>
      <c r="F138" s="630" t="s">
        <v>148</v>
      </c>
      <c r="G138" s="608">
        <v>3.53</v>
      </c>
    </row>
    <row r="139" spans="1:7">
      <c r="A139" s="913"/>
      <c r="B139" s="73" t="s">
        <v>148</v>
      </c>
      <c r="C139" s="70">
        <v>4.8040000000000003</v>
      </c>
      <c r="E139" s="604"/>
      <c r="F139" s="630" t="s">
        <v>149</v>
      </c>
      <c r="G139" s="608">
        <v>2.4500000000000002</v>
      </c>
    </row>
    <row r="140" spans="1:7">
      <c r="A140" s="913"/>
      <c r="B140" s="73" t="s">
        <v>149</v>
      </c>
      <c r="C140" s="70">
        <v>2.044</v>
      </c>
      <c r="E140" s="604"/>
      <c r="F140" s="133" t="s">
        <v>138</v>
      </c>
      <c r="G140" s="608">
        <v>41.44</v>
      </c>
    </row>
    <row r="141" spans="1:7">
      <c r="A141" s="913"/>
      <c r="B141" s="73" t="s">
        <v>138</v>
      </c>
      <c r="C141" s="70">
        <v>36.965000000000003</v>
      </c>
      <c r="E141" s="603"/>
      <c r="F141" s="629" t="s">
        <v>150</v>
      </c>
      <c r="G141" s="609">
        <f>SUM(G136:G140)</f>
        <v>64.361999999999995</v>
      </c>
    </row>
    <row r="142" spans="1:7">
      <c r="A142" s="139"/>
      <c r="B142" s="140" t="s">
        <v>150</v>
      </c>
      <c r="C142" s="101">
        <f>SUM(C137:C141)</f>
        <v>52.055000000000007</v>
      </c>
      <c r="E142" s="599"/>
      <c r="F142" s="133" t="s">
        <v>151</v>
      </c>
      <c r="G142" s="608">
        <v>34.982999999999997</v>
      </c>
    </row>
    <row r="143" spans="1:7">
      <c r="A143" s="144"/>
      <c r="B143" s="73" t="s">
        <v>151</v>
      </c>
      <c r="C143" s="70">
        <v>24.29</v>
      </c>
      <c r="E143" s="605" t="s">
        <v>152</v>
      </c>
      <c r="F143" s="133" t="s">
        <v>153</v>
      </c>
      <c r="G143" s="608">
        <v>6.5350000000000001</v>
      </c>
    </row>
    <row r="144" spans="1:7">
      <c r="A144" s="914" t="s">
        <v>152</v>
      </c>
      <c r="B144" s="73" t="s">
        <v>153</v>
      </c>
      <c r="C144" s="70">
        <v>2.2679999999999998</v>
      </c>
      <c r="E144" s="605"/>
      <c r="F144" s="133" t="s">
        <v>155</v>
      </c>
      <c r="G144" s="608">
        <v>31.684000000000001</v>
      </c>
    </row>
    <row r="145" spans="1:7">
      <c r="A145" s="914"/>
      <c r="B145" s="73" t="s">
        <v>154</v>
      </c>
      <c r="C145" s="70"/>
      <c r="E145" s="605"/>
      <c r="F145" s="133" t="s">
        <v>138</v>
      </c>
      <c r="G145" s="608">
        <v>3.4239999999999999</v>
      </c>
    </row>
    <row r="146" spans="1:7">
      <c r="A146" s="914"/>
      <c r="B146" s="73" t="s">
        <v>155</v>
      </c>
      <c r="C146" s="70">
        <v>16.602</v>
      </c>
      <c r="E146" s="602"/>
      <c r="F146" s="133" t="s">
        <v>158</v>
      </c>
      <c r="G146" s="608">
        <v>91.31</v>
      </c>
    </row>
    <row r="147" spans="1:7">
      <c r="A147" s="914"/>
      <c r="B147" s="73" t="s">
        <v>156</v>
      </c>
      <c r="C147" s="70"/>
      <c r="E147" s="603"/>
      <c r="F147" s="629" t="s">
        <v>159</v>
      </c>
      <c r="G147" s="609">
        <f>SUM(G142:G146)</f>
        <v>167.93600000000001</v>
      </c>
    </row>
    <row r="148" spans="1:7">
      <c r="A148" s="914"/>
      <c r="B148" s="73" t="s">
        <v>157</v>
      </c>
      <c r="C148" s="70"/>
      <c r="E148" s="606"/>
      <c r="F148" s="631"/>
      <c r="G148" s="610"/>
    </row>
    <row r="149" spans="1:7">
      <c r="A149" s="150"/>
      <c r="B149" s="73" t="s">
        <v>158</v>
      </c>
      <c r="C149" s="70">
        <v>64.468000000000004</v>
      </c>
      <c r="E149" s="613" t="s">
        <v>161</v>
      </c>
      <c r="F149" s="632"/>
      <c r="G149" s="614">
        <f>SUM(F12)</f>
        <v>5187.8599999999997</v>
      </c>
    </row>
    <row r="150" spans="1:7">
      <c r="A150" s="150"/>
      <c r="B150" s="73" t="s">
        <v>138</v>
      </c>
      <c r="C150" s="70">
        <v>1.722</v>
      </c>
    </row>
    <row r="151" spans="1:7">
      <c r="A151" s="139"/>
      <c r="B151" s="140" t="s">
        <v>159</v>
      </c>
      <c r="C151" s="101">
        <f>SUM(C143:C150)</f>
        <v>109.35</v>
      </c>
    </row>
    <row r="152" spans="1:7">
      <c r="A152" s="154"/>
      <c r="B152" s="73" t="s">
        <v>160</v>
      </c>
      <c r="C152" s="70">
        <f>+C153-C126</f>
        <v>252.58599999999996</v>
      </c>
    </row>
    <row r="153" spans="1:7" ht="16.5" thickBot="1">
      <c r="A153" s="915" t="s">
        <v>161</v>
      </c>
      <c r="B153" s="915"/>
      <c r="C153" s="155">
        <f>+C151+C142+C136+C131+C123</f>
        <v>432.64499999999998</v>
      </c>
    </row>
    <row r="154" spans="1:7" ht="16.5" thickTop="1"/>
  </sheetData>
  <mergeCells count="18">
    <mergeCell ref="A8:B8"/>
    <mergeCell ref="A1:O1"/>
    <mergeCell ref="A2:O2"/>
    <mergeCell ref="A4:O4"/>
    <mergeCell ref="A5:O5"/>
    <mergeCell ref="A6:O6"/>
    <mergeCell ref="K55:O55"/>
    <mergeCell ref="A10:A16"/>
    <mergeCell ref="A19:A21"/>
    <mergeCell ref="A23:A28"/>
    <mergeCell ref="A31:A35"/>
    <mergeCell ref="A40:B40"/>
    <mergeCell ref="A44:B44"/>
    <mergeCell ref="A124:A130"/>
    <mergeCell ref="A133:A135"/>
    <mergeCell ref="A137:A141"/>
    <mergeCell ref="A144:A148"/>
    <mergeCell ref="A153:B15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41A0-C26E-4F33-B9F4-60E06F3551DA}">
  <sheetPr codeName="Hoja14"/>
  <dimension ref="A1:AA263"/>
  <sheetViews>
    <sheetView showGridLines="0" topLeftCell="A13" zoomScale="85" zoomScaleNormal="85" workbookViewId="0">
      <selection activeCell="H44" sqref="H44"/>
    </sheetView>
  </sheetViews>
  <sheetFormatPr baseColWidth="10" defaultColWidth="8.25" defaultRowHeight="15.75"/>
  <cols>
    <col min="1" max="1" width="12.625" customWidth="1"/>
    <col min="2" max="3" width="19.75" customWidth="1"/>
    <col min="4" max="4" width="9.25" customWidth="1"/>
    <col min="5" max="5" width="9.625" customWidth="1"/>
    <col min="6" max="6" width="10.875" customWidth="1"/>
    <col min="7" max="7" width="10.875" style="190" customWidth="1"/>
    <col min="8" max="9" width="12" customWidth="1"/>
    <col min="10" max="10" width="12.125" customWidth="1"/>
    <col min="11" max="11" width="12" bestFit="1" customWidth="1"/>
    <col min="12" max="12" width="13.375" style="190" customWidth="1"/>
    <col min="13" max="13" width="12" style="190" customWidth="1"/>
    <col min="14" max="14" width="13.875" customWidth="1"/>
    <col min="15" max="15" width="10.75" style="191" customWidth="1"/>
    <col min="16" max="16" width="11.75" customWidth="1"/>
    <col min="17" max="17" width="12.625" customWidth="1"/>
    <col min="224" max="224" width="12.625" customWidth="1"/>
    <col min="225" max="225" width="19.75" customWidth="1"/>
    <col min="226" max="226" width="9.25" customWidth="1"/>
    <col min="227" max="227" width="9.625" customWidth="1"/>
    <col min="228" max="229" width="10.875" bestFit="1" customWidth="1"/>
    <col min="230" max="230" width="12" customWidth="1"/>
    <col min="231" max="231" width="12" bestFit="1" customWidth="1"/>
    <col min="232" max="232" width="12.125" customWidth="1"/>
    <col min="233" max="233" width="12" bestFit="1" customWidth="1"/>
    <col min="234" max="234" width="13.375" customWidth="1"/>
    <col min="235" max="235" width="12" customWidth="1"/>
    <col min="236" max="236" width="10.875" customWidth="1"/>
    <col min="237" max="237" width="10.75" customWidth="1"/>
    <col min="238" max="238" width="11.75" customWidth="1"/>
    <col min="239" max="239" width="12.625" customWidth="1"/>
    <col min="240" max="240" width="15.375" customWidth="1"/>
    <col min="241" max="241" width="16.125" customWidth="1"/>
    <col min="242" max="242" width="18" customWidth="1"/>
    <col min="243" max="243" width="14.5" customWidth="1"/>
    <col min="244" max="245" width="10" customWidth="1"/>
    <col min="246" max="246" width="11.875" customWidth="1"/>
    <col min="480" max="480" width="12.625" customWidth="1"/>
    <col min="481" max="481" width="19.75" customWidth="1"/>
    <col min="482" max="482" width="9.25" customWidth="1"/>
    <col min="483" max="483" width="9.625" customWidth="1"/>
    <col min="484" max="485" width="10.875" bestFit="1" customWidth="1"/>
    <col min="486" max="486" width="12" customWidth="1"/>
    <col min="487" max="487" width="12" bestFit="1" customWidth="1"/>
    <col min="488" max="488" width="12.125" customWidth="1"/>
    <col min="489" max="489" width="12" bestFit="1" customWidth="1"/>
    <col min="490" max="490" width="13.375" customWidth="1"/>
    <col min="491" max="491" width="12" customWidth="1"/>
    <col min="492" max="492" width="10.875" customWidth="1"/>
    <col min="493" max="493" width="10.75" customWidth="1"/>
    <col min="494" max="494" width="11.75" customWidth="1"/>
    <col min="495" max="495" width="12.625" customWidth="1"/>
    <col min="496" max="496" width="15.375" customWidth="1"/>
    <col min="497" max="497" width="16.125" customWidth="1"/>
    <col min="498" max="498" width="18" customWidth="1"/>
    <col min="499" max="499" width="14.5" customWidth="1"/>
    <col min="500" max="501" width="10" customWidth="1"/>
    <col min="502" max="502" width="11.875" customWidth="1"/>
    <col min="736" max="736" width="12.625" customWidth="1"/>
    <col min="737" max="737" width="19.75" customWidth="1"/>
    <col min="738" max="738" width="9.25" customWidth="1"/>
    <col min="739" max="739" width="9.625" customWidth="1"/>
    <col min="740" max="741" width="10.875" bestFit="1" customWidth="1"/>
    <col min="742" max="742" width="12" customWidth="1"/>
    <col min="743" max="743" width="12" bestFit="1" customWidth="1"/>
    <col min="744" max="744" width="12.125" customWidth="1"/>
    <col min="745" max="745" width="12" bestFit="1" customWidth="1"/>
    <col min="746" max="746" width="13.375" customWidth="1"/>
    <col min="747" max="747" width="12" customWidth="1"/>
    <col min="748" max="748" width="10.875" customWidth="1"/>
    <col min="749" max="749" width="10.75" customWidth="1"/>
    <col min="750" max="750" width="11.75" customWidth="1"/>
    <col min="751" max="751" width="12.625" customWidth="1"/>
    <col min="752" max="752" width="15.375" customWidth="1"/>
    <col min="753" max="753" width="16.125" customWidth="1"/>
    <col min="754" max="754" width="18" customWidth="1"/>
    <col min="755" max="755" width="14.5" customWidth="1"/>
    <col min="756" max="757" width="10" customWidth="1"/>
    <col min="758" max="758" width="11.875" customWidth="1"/>
    <col min="992" max="992" width="12.625" customWidth="1"/>
    <col min="993" max="993" width="19.75" customWidth="1"/>
    <col min="994" max="994" width="9.25" customWidth="1"/>
    <col min="995" max="995" width="9.625" customWidth="1"/>
    <col min="996" max="997" width="10.875" bestFit="1" customWidth="1"/>
    <col min="998" max="998" width="12" customWidth="1"/>
    <col min="999" max="999" width="12" bestFit="1" customWidth="1"/>
    <col min="1000" max="1000" width="12.125" customWidth="1"/>
    <col min="1001" max="1001" width="12" bestFit="1" customWidth="1"/>
    <col min="1002" max="1002" width="13.375" customWidth="1"/>
    <col min="1003" max="1003" width="12" customWidth="1"/>
    <col min="1004" max="1004" width="10.875" customWidth="1"/>
    <col min="1005" max="1005" width="10.75" customWidth="1"/>
    <col min="1006" max="1006" width="11.75" customWidth="1"/>
    <col min="1007" max="1007" width="12.625" customWidth="1"/>
    <col min="1008" max="1008" width="15.375" customWidth="1"/>
    <col min="1009" max="1009" width="16.125" customWidth="1"/>
    <col min="1010" max="1010" width="18" customWidth="1"/>
    <col min="1011" max="1011" width="14.5" customWidth="1"/>
    <col min="1012" max="1013" width="10" customWidth="1"/>
    <col min="1014" max="1014" width="11.875" customWidth="1"/>
    <col min="1248" max="1248" width="12.625" customWidth="1"/>
    <col min="1249" max="1249" width="19.75" customWidth="1"/>
    <col min="1250" max="1250" width="9.25" customWidth="1"/>
    <col min="1251" max="1251" width="9.625" customWidth="1"/>
    <col min="1252" max="1253" width="10.875" bestFit="1" customWidth="1"/>
    <col min="1254" max="1254" width="12" customWidth="1"/>
    <col min="1255" max="1255" width="12" bestFit="1" customWidth="1"/>
    <col min="1256" max="1256" width="12.125" customWidth="1"/>
    <col min="1257" max="1257" width="12" bestFit="1" customWidth="1"/>
    <col min="1258" max="1258" width="13.375" customWidth="1"/>
    <col min="1259" max="1259" width="12" customWidth="1"/>
    <col min="1260" max="1260" width="10.875" customWidth="1"/>
    <col min="1261" max="1261" width="10.75" customWidth="1"/>
    <col min="1262" max="1262" width="11.75" customWidth="1"/>
    <col min="1263" max="1263" width="12.625" customWidth="1"/>
    <col min="1264" max="1264" width="15.375" customWidth="1"/>
    <col min="1265" max="1265" width="16.125" customWidth="1"/>
    <col min="1266" max="1266" width="18" customWidth="1"/>
    <col min="1267" max="1267" width="14.5" customWidth="1"/>
    <col min="1268" max="1269" width="10" customWidth="1"/>
    <col min="1270" max="1270" width="11.875" customWidth="1"/>
    <col min="1504" max="1504" width="12.625" customWidth="1"/>
    <col min="1505" max="1505" width="19.75" customWidth="1"/>
    <col min="1506" max="1506" width="9.25" customWidth="1"/>
    <col min="1507" max="1507" width="9.625" customWidth="1"/>
    <col min="1508" max="1509" width="10.875" bestFit="1" customWidth="1"/>
    <col min="1510" max="1510" width="12" customWidth="1"/>
    <col min="1511" max="1511" width="12" bestFit="1" customWidth="1"/>
    <col min="1512" max="1512" width="12.125" customWidth="1"/>
    <col min="1513" max="1513" width="12" bestFit="1" customWidth="1"/>
    <col min="1514" max="1514" width="13.375" customWidth="1"/>
    <col min="1515" max="1515" width="12" customWidth="1"/>
    <col min="1516" max="1516" width="10.875" customWidth="1"/>
    <col min="1517" max="1517" width="10.75" customWidth="1"/>
    <col min="1518" max="1518" width="11.75" customWidth="1"/>
    <col min="1519" max="1519" width="12.625" customWidth="1"/>
    <col min="1520" max="1520" width="15.375" customWidth="1"/>
    <col min="1521" max="1521" width="16.125" customWidth="1"/>
    <col min="1522" max="1522" width="18" customWidth="1"/>
    <col min="1523" max="1523" width="14.5" customWidth="1"/>
    <col min="1524" max="1525" width="10" customWidth="1"/>
    <col min="1526" max="1526" width="11.875" customWidth="1"/>
    <col min="1760" max="1760" width="12.625" customWidth="1"/>
    <col min="1761" max="1761" width="19.75" customWidth="1"/>
    <col min="1762" max="1762" width="9.25" customWidth="1"/>
    <col min="1763" max="1763" width="9.625" customWidth="1"/>
    <col min="1764" max="1765" width="10.875" bestFit="1" customWidth="1"/>
    <col min="1766" max="1766" width="12" customWidth="1"/>
    <col min="1767" max="1767" width="12" bestFit="1" customWidth="1"/>
    <col min="1768" max="1768" width="12.125" customWidth="1"/>
    <col min="1769" max="1769" width="12" bestFit="1" customWidth="1"/>
    <col min="1770" max="1770" width="13.375" customWidth="1"/>
    <col min="1771" max="1771" width="12" customWidth="1"/>
    <col min="1772" max="1772" width="10.875" customWidth="1"/>
    <col min="1773" max="1773" width="10.75" customWidth="1"/>
    <col min="1774" max="1774" width="11.75" customWidth="1"/>
    <col min="1775" max="1775" width="12.625" customWidth="1"/>
    <col min="1776" max="1776" width="15.375" customWidth="1"/>
    <col min="1777" max="1777" width="16.125" customWidth="1"/>
    <col min="1778" max="1778" width="18" customWidth="1"/>
    <col min="1779" max="1779" width="14.5" customWidth="1"/>
    <col min="1780" max="1781" width="10" customWidth="1"/>
    <col min="1782" max="1782" width="11.875" customWidth="1"/>
    <col min="2016" max="2016" width="12.625" customWidth="1"/>
    <col min="2017" max="2017" width="19.75" customWidth="1"/>
    <col min="2018" max="2018" width="9.25" customWidth="1"/>
    <col min="2019" max="2019" width="9.625" customWidth="1"/>
    <col min="2020" max="2021" width="10.875" bestFit="1" customWidth="1"/>
    <col min="2022" max="2022" width="12" customWidth="1"/>
    <col min="2023" max="2023" width="12" bestFit="1" customWidth="1"/>
    <col min="2024" max="2024" width="12.125" customWidth="1"/>
    <col min="2025" max="2025" width="12" bestFit="1" customWidth="1"/>
    <col min="2026" max="2026" width="13.375" customWidth="1"/>
    <col min="2027" max="2027" width="12" customWidth="1"/>
    <col min="2028" max="2028" width="10.875" customWidth="1"/>
    <col min="2029" max="2029" width="10.75" customWidth="1"/>
    <col min="2030" max="2030" width="11.75" customWidth="1"/>
    <col min="2031" max="2031" width="12.625" customWidth="1"/>
    <col min="2032" max="2032" width="15.375" customWidth="1"/>
    <col min="2033" max="2033" width="16.125" customWidth="1"/>
    <col min="2034" max="2034" width="18" customWidth="1"/>
    <col min="2035" max="2035" width="14.5" customWidth="1"/>
    <col min="2036" max="2037" width="10" customWidth="1"/>
    <col min="2038" max="2038" width="11.875" customWidth="1"/>
    <col min="2272" max="2272" width="12.625" customWidth="1"/>
    <col min="2273" max="2273" width="19.75" customWidth="1"/>
    <col min="2274" max="2274" width="9.25" customWidth="1"/>
    <col min="2275" max="2275" width="9.625" customWidth="1"/>
    <col min="2276" max="2277" width="10.875" bestFit="1" customWidth="1"/>
    <col min="2278" max="2278" width="12" customWidth="1"/>
    <col min="2279" max="2279" width="12" bestFit="1" customWidth="1"/>
    <col min="2280" max="2280" width="12.125" customWidth="1"/>
    <col min="2281" max="2281" width="12" bestFit="1" customWidth="1"/>
    <col min="2282" max="2282" width="13.375" customWidth="1"/>
    <col min="2283" max="2283" width="12" customWidth="1"/>
    <col min="2284" max="2284" width="10.875" customWidth="1"/>
    <col min="2285" max="2285" width="10.75" customWidth="1"/>
    <col min="2286" max="2286" width="11.75" customWidth="1"/>
    <col min="2287" max="2287" width="12.625" customWidth="1"/>
    <col min="2288" max="2288" width="15.375" customWidth="1"/>
    <col min="2289" max="2289" width="16.125" customWidth="1"/>
    <col min="2290" max="2290" width="18" customWidth="1"/>
    <col min="2291" max="2291" width="14.5" customWidth="1"/>
    <col min="2292" max="2293" width="10" customWidth="1"/>
    <col min="2294" max="2294" width="11.875" customWidth="1"/>
    <col min="2528" max="2528" width="12.625" customWidth="1"/>
    <col min="2529" max="2529" width="19.75" customWidth="1"/>
    <col min="2530" max="2530" width="9.25" customWidth="1"/>
    <col min="2531" max="2531" width="9.625" customWidth="1"/>
    <col min="2532" max="2533" width="10.875" bestFit="1" customWidth="1"/>
    <col min="2534" max="2534" width="12" customWidth="1"/>
    <col min="2535" max="2535" width="12" bestFit="1" customWidth="1"/>
    <col min="2536" max="2536" width="12.125" customWidth="1"/>
    <col min="2537" max="2537" width="12" bestFit="1" customWidth="1"/>
    <col min="2538" max="2538" width="13.375" customWidth="1"/>
    <col min="2539" max="2539" width="12" customWidth="1"/>
    <col min="2540" max="2540" width="10.875" customWidth="1"/>
    <col min="2541" max="2541" width="10.75" customWidth="1"/>
    <col min="2542" max="2542" width="11.75" customWidth="1"/>
    <col min="2543" max="2543" width="12.625" customWidth="1"/>
    <col min="2544" max="2544" width="15.375" customWidth="1"/>
    <col min="2545" max="2545" width="16.125" customWidth="1"/>
    <col min="2546" max="2546" width="18" customWidth="1"/>
    <col min="2547" max="2547" width="14.5" customWidth="1"/>
    <col min="2548" max="2549" width="10" customWidth="1"/>
    <col min="2550" max="2550" width="11.875" customWidth="1"/>
    <col min="2784" max="2784" width="12.625" customWidth="1"/>
    <col min="2785" max="2785" width="19.75" customWidth="1"/>
    <col min="2786" max="2786" width="9.25" customWidth="1"/>
    <col min="2787" max="2787" width="9.625" customWidth="1"/>
    <col min="2788" max="2789" width="10.875" bestFit="1" customWidth="1"/>
    <col min="2790" max="2790" width="12" customWidth="1"/>
    <col min="2791" max="2791" width="12" bestFit="1" customWidth="1"/>
    <col min="2792" max="2792" width="12.125" customWidth="1"/>
    <col min="2793" max="2793" width="12" bestFit="1" customWidth="1"/>
    <col min="2794" max="2794" width="13.375" customWidth="1"/>
    <col min="2795" max="2795" width="12" customWidth="1"/>
    <col min="2796" max="2796" width="10.875" customWidth="1"/>
    <col min="2797" max="2797" width="10.75" customWidth="1"/>
    <col min="2798" max="2798" width="11.75" customWidth="1"/>
    <col min="2799" max="2799" width="12.625" customWidth="1"/>
    <col min="2800" max="2800" width="15.375" customWidth="1"/>
    <col min="2801" max="2801" width="16.125" customWidth="1"/>
    <col min="2802" max="2802" width="18" customWidth="1"/>
    <col min="2803" max="2803" width="14.5" customWidth="1"/>
    <col min="2804" max="2805" width="10" customWidth="1"/>
    <col min="2806" max="2806" width="11.875" customWidth="1"/>
    <col min="3040" max="3040" width="12.625" customWidth="1"/>
    <col min="3041" max="3041" width="19.75" customWidth="1"/>
    <col min="3042" max="3042" width="9.25" customWidth="1"/>
    <col min="3043" max="3043" width="9.625" customWidth="1"/>
    <col min="3044" max="3045" width="10.875" bestFit="1" customWidth="1"/>
    <col min="3046" max="3046" width="12" customWidth="1"/>
    <col min="3047" max="3047" width="12" bestFit="1" customWidth="1"/>
    <col min="3048" max="3048" width="12.125" customWidth="1"/>
    <col min="3049" max="3049" width="12" bestFit="1" customWidth="1"/>
    <col min="3050" max="3050" width="13.375" customWidth="1"/>
    <col min="3051" max="3051" width="12" customWidth="1"/>
    <col min="3052" max="3052" width="10.875" customWidth="1"/>
    <col min="3053" max="3053" width="10.75" customWidth="1"/>
    <col min="3054" max="3054" width="11.75" customWidth="1"/>
    <col min="3055" max="3055" width="12.625" customWidth="1"/>
    <col min="3056" max="3056" width="15.375" customWidth="1"/>
    <col min="3057" max="3057" width="16.125" customWidth="1"/>
    <col min="3058" max="3058" width="18" customWidth="1"/>
    <col min="3059" max="3059" width="14.5" customWidth="1"/>
    <col min="3060" max="3061" width="10" customWidth="1"/>
    <col min="3062" max="3062" width="11.875" customWidth="1"/>
    <col min="3296" max="3296" width="12.625" customWidth="1"/>
    <col min="3297" max="3297" width="19.75" customWidth="1"/>
    <col min="3298" max="3298" width="9.25" customWidth="1"/>
    <col min="3299" max="3299" width="9.625" customWidth="1"/>
    <col min="3300" max="3301" width="10.875" bestFit="1" customWidth="1"/>
    <col min="3302" max="3302" width="12" customWidth="1"/>
    <col min="3303" max="3303" width="12" bestFit="1" customWidth="1"/>
    <col min="3304" max="3304" width="12.125" customWidth="1"/>
    <col min="3305" max="3305" width="12" bestFit="1" customWidth="1"/>
    <col min="3306" max="3306" width="13.375" customWidth="1"/>
    <col min="3307" max="3307" width="12" customWidth="1"/>
    <col min="3308" max="3308" width="10.875" customWidth="1"/>
    <col min="3309" max="3309" width="10.75" customWidth="1"/>
    <col min="3310" max="3310" width="11.75" customWidth="1"/>
    <col min="3311" max="3311" width="12.625" customWidth="1"/>
    <col min="3312" max="3312" width="15.375" customWidth="1"/>
    <col min="3313" max="3313" width="16.125" customWidth="1"/>
    <col min="3314" max="3314" width="18" customWidth="1"/>
    <col min="3315" max="3315" width="14.5" customWidth="1"/>
    <col min="3316" max="3317" width="10" customWidth="1"/>
    <col min="3318" max="3318" width="11.875" customWidth="1"/>
    <col min="3552" max="3552" width="12.625" customWidth="1"/>
    <col min="3553" max="3553" width="19.75" customWidth="1"/>
    <col min="3554" max="3554" width="9.25" customWidth="1"/>
    <col min="3555" max="3555" width="9.625" customWidth="1"/>
    <col min="3556" max="3557" width="10.875" bestFit="1" customWidth="1"/>
    <col min="3558" max="3558" width="12" customWidth="1"/>
    <col min="3559" max="3559" width="12" bestFit="1" customWidth="1"/>
    <col min="3560" max="3560" width="12.125" customWidth="1"/>
    <col min="3561" max="3561" width="12" bestFit="1" customWidth="1"/>
    <col min="3562" max="3562" width="13.375" customWidth="1"/>
    <col min="3563" max="3563" width="12" customWidth="1"/>
    <col min="3564" max="3564" width="10.875" customWidth="1"/>
    <col min="3565" max="3565" width="10.75" customWidth="1"/>
    <col min="3566" max="3566" width="11.75" customWidth="1"/>
    <col min="3567" max="3567" width="12.625" customWidth="1"/>
    <col min="3568" max="3568" width="15.375" customWidth="1"/>
    <col min="3569" max="3569" width="16.125" customWidth="1"/>
    <col min="3570" max="3570" width="18" customWidth="1"/>
    <col min="3571" max="3571" width="14.5" customWidth="1"/>
    <col min="3572" max="3573" width="10" customWidth="1"/>
    <col min="3574" max="3574" width="11.875" customWidth="1"/>
    <col min="3808" max="3808" width="12.625" customWidth="1"/>
    <col min="3809" max="3809" width="19.75" customWidth="1"/>
    <col min="3810" max="3810" width="9.25" customWidth="1"/>
    <col min="3811" max="3811" width="9.625" customWidth="1"/>
    <col min="3812" max="3813" width="10.875" bestFit="1" customWidth="1"/>
    <col min="3814" max="3814" width="12" customWidth="1"/>
    <col min="3815" max="3815" width="12" bestFit="1" customWidth="1"/>
    <col min="3816" max="3816" width="12.125" customWidth="1"/>
    <col min="3817" max="3817" width="12" bestFit="1" customWidth="1"/>
    <col min="3818" max="3818" width="13.375" customWidth="1"/>
    <col min="3819" max="3819" width="12" customWidth="1"/>
    <col min="3820" max="3820" width="10.875" customWidth="1"/>
    <col min="3821" max="3821" width="10.75" customWidth="1"/>
    <col min="3822" max="3822" width="11.75" customWidth="1"/>
    <col min="3823" max="3823" width="12.625" customWidth="1"/>
    <col min="3824" max="3824" width="15.375" customWidth="1"/>
    <col min="3825" max="3825" width="16.125" customWidth="1"/>
    <col min="3826" max="3826" width="18" customWidth="1"/>
    <col min="3827" max="3827" width="14.5" customWidth="1"/>
    <col min="3828" max="3829" width="10" customWidth="1"/>
    <col min="3830" max="3830" width="11.875" customWidth="1"/>
    <col min="4064" max="4064" width="12.625" customWidth="1"/>
    <col min="4065" max="4065" width="19.75" customWidth="1"/>
    <col min="4066" max="4066" width="9.25" customWidth="1"/>
    <col min="4067" max="4067" width="9.625" customWidth="1"/>
    <col min="4068" max="4069" width="10.875" bestFit="1" customWidth="1"/>
    <col min="4070" max="4070" width="12" customWidth="1"/>
    <col min="4071" max="4071" width="12" bestFit="1" customWidth="1"/>
    <col min="4072" max="4072" width="12.125" customWidth="1"/>
    <col min="4073" max="4073" width="12" bestFit="1" customWidth="1"/>
    <col min="4074" max="4074" width="13.375" customWidth="1"/>
    <col min="4075" max="4075" width="12" customWidth="1"/>
    <col min="4076" max="4076" width="10.875" customWidth="1"/>
    <col min="4077" max="4077" width="10.75" customWidth="1"/>
    <col min="4078" max="4078" width="11.75" customWidth="1"/>
    <col min="4079" max="4079" width="12.625" customWidth="1"/>
    <col min="4080" max="4080" width="15.375" customWidth="1"/>
    <col min="4081" max="4081" width="16.125" customWidth="1"/>
    <col min="4082" max="4082" width="18" customWidth="1"/>
    <col min="4083" max="4083" width="14.5" customWidth="1"/>
    <col min="4084" max="4085" width="10" customWidth="1"/>
    <col min="4086" max="4086" width="11.875" customWidth="1"/>
    <col min="4320" max="4320" width="12.625" customWidth="1"/>
    <col min="4321" max="4321" width="19.75" customWidth="1"/>
    <col min="4322" max="4322" width="9.25" customWidth="1"/>
    <col min="4323" max="4323" width="9.625" customWidth="1"/>
    <col min="4324" max="4325" width="10.875" bestFit="1" customWidth="1"/>
    <col min="4326" max="4326" width="12" customWidth="1"/>
    <col min="4327" max="4327" width="12" bestFit="1" customWidth="1"/>
    <col min="4328" max="4328" width="12.125" customWidth="1"/>
    <col min="4329" max="4329" width="12" bestFit="1" customWidth="1"/>
    <col min="4330" max="4330" width="13.375" customWidth="1"/>
    <col min="4331" max="4331" width="12" customWidth="1"/>
    <col min="4332" max="4332" width="10.875" customWidth="1"/>
    <col min="4333" max="4333" width="10.75" customWidth="1"/>
    <col min="4334" max="4334" width="11.75" customWidth="1"/>
    <col min="4335" max="4335" width="12.625" customWidth="1"/>
    <col min="4336" max="4336" width="15.375" customWidth="1"/>
    <col min="4337" max="4337" width="16.125" customWidth="1"/>
    <col min="4338" max="4338" width="18" customWidth="1"/>
    <col min="4339" max="4339" width="14.5" customWidth="1"/>
    <col min="4340" max="4341" width="10" customWidth="1"/>
    <col min="4342" max="4342" width="11.875" customWidth="1"/>
    <col min="4576" max="4576" width="12.625" customWidth="1"/>
    <col min="4577" max="4577" width="19.75" customWidth="1"/>
    <col min="4578" max="4578" width="9.25" customWidth="1"/>
    <col min="4579" max="4579" width="9.625" customWidth="1"/>
    <col min="4580" max="4581" width="10.875" bestFit="1" customWidth="1"/>
    <col min="4582" max="4582" width="12" customWidth="1"/>
    <col min="4583" max="4583" width="12" bestFit="1" customWidth="1"/>
    <col min="4584" max="4584" width="12.125" customWidth="1"/>
    <col min="4585" max="4585" width="12" bestFit="1" customWidth="1"/>
    <col min="4586" max="4586" width="13.375" customWidth="1"/>
    <col min="4587" max="4587" width="12" customWidth="1"/>
    <col min="4588" max="4588" width="10.875" customWidth="1"/>
    <col min="4589" max="4589" width="10.75" customWidth="1"/>
    <col min="4590" max="4590" width="11.75" customWidth="1"/>
    <col min="4591" max="4591" width="12.625" customWidth="1"/>
    <col min="4592" max="4592" width="15.375" customWidth="1"/>
    <col min="4593" max="4593" width="16.125" customWidth="1"/>
    <col min="4594" max="4594" width="18" customWidth="1"/>
    <col min="4595" max="4595" width="14.5" customWidth="1"/>
    <col min="4596" max="4597" width="10" customWidth="1"/>
    <col min="4598" max="4598" width="11.875" customWidth="1"/>
    <col min="4832" max="4832" width="12.625" customWidth="1"/>
    <col min="4833" max="4833" width="19.75" customWidth="1"/>
    <col min="4834" max="4834" width="9.25" customWidth="1"/>
    <col min="4835" max="4835" width="9.625" customWidth="1"/>
    <col min="4836" max="4837" width="10.875" bestFit="1" customWidth="1"/>
    <col min="4838" max="4838" width="12" customWidth="1"/>
    <col min="4839" max="4839" width="12" bestFit="1" customWidth="1"/>
    <col min="4840" max="4840" width="12.125" customWidth="1"/>
    <col min="4841" max="4841" width="12" bestFit="1" customWidth="1"/>
    <col min="4842" max="4842" width="13.375" customWidth="1"/>
    <col min="4843" max="4843" width="12" customWidth="1"/>
    <col min="4844" max="4844" width="10.875" customWidth="1"/>
    <col min="4845" max="4845" width="10.75" customWidth="1"/>
    <col min="4846" max="4846" width="11.75" customWidth="1"/>
    <col min="4847" max="4847" width="12.625" customWidth="1"/>
    <col min="4848" max="4848" width="15.375" customWidth="1"/>
    <col min="4849" max="4849" width="16.125" customWidth="1"/>
    <col min="4850" max="4850" width="18" customWidth="1"/>
    <col min="4851" max="4851" width="14.5" customWidth="1"/>
    <col min="4852" max="4853" width="10" customWidth="1"/>
    <col min="4854" max="4854" width="11.875" customWidth="1"/>
    <col min="5088" max="5088" width="12.625" customWidth="1"/>
    <col min="5089" max="5089" width="19.75" customWidth="1"/>
    <col min="5090" max="5090" width="9.25" customWidth="1"/>
    <col min="5091" max="5091" width="9.625" customWidth="1"/>
    <col min="5092" max="5093" width="10.875" bestFit="1" customWidth="1"/>
    <col min="5094" max="5094" width="12" customWidth="1"/>
    <col min="5095" max="5095" width="12" bestFit="1" customWidth="1"/>
    <col min="5096" max="5096" width="12.125" customWidth="1"/>
    <col min="5097" max="5097" width="12" bestFit="1" customWidth="1"/>
    <col min="5098" max="5098" width="13.375" customWidth="1"/>
    <col min="5099" max="5099" width="12" customWidth="1"/>
    <col min="5100" max="5100" width="10.875" customWidth="1"/>
    <col min="5101" max="5101" width="10.75" customWidth="1"/>
    <col min="5102" max="5102" width="11.75" customWidth="1"/>
    <col min="5103" max="5103" width="12.625" customWidth="1"/>
    <col min="5104" max="5104" width="15.375" customWidth="1"/>
    <col min="5105" max="5105" width="16.125" customWidth="1"/>
    <col min="5106" max="5106" width="18" customWidth="1"/>
    <col min="5107" max="5107" width="14.5" customWidth="1"/>
    <col min="5108" max="5109" width="10" customWidth="1"/>
    <col min="5110" max="5110" width="11.875" customWidth="1"/>
    <col min="5344" max="5344" width="12.625" customWidth="1"/>
    <col min="5345" max="5345" width="19.75" customWidth="1"/>
    <col min="5346" max="5346" width="9.25" customWidth="1"/>
    <col min="5347" max="5347" width="9.625" customWidth="1"/>
    <col min="5348" max="5349" width="10.875" bestFit="1" customWidth="1"/>
    <col min="5350" max="5350" width="12" customWidth="1"/>
    <col min="5351" max="5351" width="12" bestFit="1" customWidth="1"/>
    <col min="5352" max="5352" width="12.125" customWidth="1"/>
    <col min="5353" max="5353" width="12" bestFit="1" customWidth="1"/>
    <col min="5354" max="5354" width="13.375" customWidth="1"/>
    <col min="5355" max="5355" width="12" customWidth="1"/>
    <col min="5356" max="5356" width="10.875" customWidth="1"/>
    <col min="5357" max="5357" width="10.75" customWidth="1"/>
    <col min="5358" max="5358" width="11.75" customWidth="1"/>
    <col min="5359" max="5359" width="12.625" customWidth="1"/>
    <col min="5360" max="5360" width="15.375" customWidth="1"/>
    <col min="5361" max="5361" width="16.125" customWidth="1"/>
    <col min="5362" max="5362" width="18" customWidth="1"/>
    <col min="5363" max="5363" width="14.5" customWidth="1"/>
    <col min="5364" max="5365" width="10" customWidth="1"/>
    <col min="5366" max="5366" width="11.875" customWidth="1"/>
    <col min="5600" max="5600" width="12.625" customWidth="1"/>
    <col min="5601" max="5601" width="19.75" customWidth="1"/>
    <col min="5602" max="5602" width="9.25" customWidth="1"/>
    <col min="5603" max="5603" width="9.625" customWidth="1"/>
    <col min="5604" max="5605" width="10.875" bestFit="1" customWidth="1"/>
    <col min="5606" max="5606" width="12" customWidth="1"/>
    <col min="5607" max="5607" width="12" bestFit="1" customWidth="1"/>
    <col min="5608" max="5608" width="12.125" customWidth="1"/>
    <col min="5609" max="5609" width="12" bestFit="1" customWidth="1"/>
    <col min="5610" max="5610" width="13.375" customWidth="1"/>
    <col min="5611" max="5611" width="12" customWidth="1"/>
    <col min="5612" max="5612" width="10.875" customWidth="1"/>
    <col min="5613" max="5613" width="10.75" customWidth="1"/>
    <col min="5614" max="5614" width="11.75" customWidth="1"/>
    <col min="5615" max="5615" width="12.625" customWidth="1"/>
    <col min="5616" max="5616" width="15.375" customWidth="1"/>
    <col min="5617" max="5617" width="16.125" customWidth="1"/>
    <col min="5618" max="5618" width="18" customWidth="1"/>
    <col min="5619" max="5619" width="14.5" customWidth="1"/>
    <col min="5620" max="5621" width="10" customWidth="1"/>
    <col min="5622" max="5622" width="11.875" customWidth="1"/>
    <col min="5856" max="5856" width="12.625" customWidth="1"/>
    <col min="5857" max="5857" width="19.75" customWidth="1"/>
    <col min="5858" max="5858" width="9.25" customWidth="1"/>
    <col min="5859" max="5859" width="9.625" customWidth="1"/>
    <col min="5860" max="5861" width="10.875" bestFit="1" customWidth="1"/>
    <col min="5862" max="5862" width="12" customWidth="1"/>
    <col min="5863" max="5863" width="12" bestFit="1" customWidth="1"/>
    <col min="5864" max="5864" width="12.125" customWidth="1"/>
    <col min="5865" max="5865" width="12" bestFit="1" customWidth="1"/>
    <col min="5866" max="5866" width="13.375" customWidth="1"/>
    <col min="5867" max="5867" width="12" customWidth="1"/>
    <col min="5868" max="5868" width="10.875" customWidth="1"/>
    <col min="5869" max="5869" width="10.75" customWidth="1"/>
    <col min="5870" max="5870" width="11.75" customWidth="1"/>
    <col min="5871" max="5871" width="12.625" customWidth="1"/>
    <col min="5872" max="5872" width="15.375" customWidth="1"/>
    <col min="5873" max="5873" width="16.125" customWidth="1"/>
    <col min="5874" max="5874" width="18" customWidth="1"/>
    <col min="5875" max="5875" width="14.5" customWidth="1"/>
    <col min="5876" max="5877" width="10" customWidth="1"/>
    <col min="5878" max="5878" width="11.875" customWidth="1"/>
    <col min="6112" max="6112" width="12.625" customWidth="1"/>
    <col min="6113" max="6113" width="19.75" customWidth="1"/>
    <col min="6114" max="6114" width="9.25" customWidth="1"/>
    <col min="6115" max="6115" width="9.625" customWidth="1"/>
    <col min="6116" max="6117" width="10.875" bestFit="1" customWidth="1"/>
    <col min="6118" max="6118" width="12" customWidth="1"/>
    <col min="6119" max="6119" width="12" bestFit="1" customWidth="1"/>
    <col min="6120" max="6120" width="12.125" customWidth="1"/>
    <col min="6121" max="6121" width="12" bestFit="1" customWidth="1"/>
    <col min="6122" max="6122" width="13.375" customWidth="1"/>
    <col min="6123" max="6123" width="12" customWidth="1"/>
    <col min="6124" max="6124" width="10.875" customWidth="1"/>
    <col min="6125" max="6125" width="10.75" customWidth="1"/>
    <col min="6126" max="6126" width="11.75" customWidth="1"/>
    <col min="6127" max="6127" width="12.625" customWidth="1"/>
    <col min="6128" max="6128" width="15.375" customWidth="1"/>
    <col min="6129" max="6129" width="16.125" customWidth="1"/>
    <col min="6130" max="6130" width="18" customWidth="1"/>
    <col min="6131" max="6131" width="14.5" customWidth="1"/>
    <col min="6132" max="6133" width="10" customWidth="1"/>
    <col min="6134" max="6134" width="11.875" customWidth="1"/>
    <col min="6368" max="6368" width="12.625" customWidth="1"/>
    <col min="6369" max="6369" width="19.75" customWidth="1"/>
    <col min="6370" max="6370" width="9.25" customWidth="1"/>
    <col min="6371" max="6371" width="9.625" customWidth="1"/>
    <col min="6372" max="6373" width="10.875" bestFit="1" customWidth="1"/>
    <col min="6374" max="6374" width="12" customWidth="1"/>
    <col min="6375" max="6375" width="12" bestFit="1" customWidth="1"/>
    <col min="6376" max="6376" width="12.125" customWidth="1"/>
    <col min="6377" max="6377" width="12" bestFit="1" customWidth="1"/>
    <col min="6378" max="6378" width="13.375" customWidth="1"/>
    <col min="6379" max="6379" width="12" customWidth="1"/>
    <col min="6380" max="6380" width="10.875" customWidth="1"/>
    <col min="6381" max="6381" width="10.75" customWidth="1"/>
    <col min="6382" max="6382" width="11.75" customWidth="1"/>
    <col min="6383" max="6383" width="12.625" customWidth="1"/>
    <col min="6384" max="6384" width="15.375" customWidth="1"/>
    <col min="6385" max="6385" width="16.125" customWidth="1"/>
    <col min="6386" max="6386" width="18" customWidth="1"/>
    <col min="6387" max="6387" width="14.5" customWidth="1"/>
    <col min="6388" max="6389" width="10" customWidth="1"/>
    <col min="6390" max="6390" width="11.875" customWidth="1"/>
    <col min="6624" max="6624" width="12.625" customWidth="1"/>
    <col min="6625" max="6625" width="19.75" customWidth="1"/>
    <col min="6626" max="6626" width="9.25" customWidth="1"/>
    <col min="6627" max="6627" width="9.625" customWidth="1"/>
    <col min="6628" max="6629" width="10.875" bestFit="1" customWidth="1"/>
    <col min="6630" max="6630" width="12" customWidth="1"/>
    <col min="6631" max="6631" width="12" bestFit="1" customWidth="1"/>
    <col min="6632" max="6632" width="12.125" customWidth="1"/>
    <col min="6633" max="6633" width="12" bestFit="1" customWidth="1"/>
    <col min="6634" max="6634" width="13.375" customWidth="1"/>
    <col min="6635" max="6635" width="12" customWidth="1"/>
    <col min="6636" max="6636" width="10.875" customWidth="1"/>
    <col min="6637" max="6637" width="10.75" customWidth="1"/>
    <col min="6638" max="6638" width="11.75" customWidth="1"/>
    <col min="6639" max="6639" width="12.625" customWidth="1"/>
    <col min="6640" max="6640" width="15.375" customWidth="1"/>
    <col min="6641" max="6641" width="16.125" customWidth="1"/>
    <col min="6642" max="6642" width="18" customWidth="1"/>
    <col min="6643" max="6643" width="14.5" customWidth="1"/>
    <col min="6644" max="6645" width="10" customWidth="1"/>
    <col min="6646" max="6646" width="11.875" customWidth="1"/>
    <col min="6880" max="6880" width="12.625" customWidth="1"/>
    <col min="6881" max="6881" width="19.75" customWidth="1"/>
    <col min="6882" max="6882" width="9.25" customWidth="1"/>
    <col min="6883" max="6883" width="9.625" customWidth="1"/>
    <col min="6884" max="6885" width="10.875" bestFit="1" customWidth="1"/>
    <col min="6886" max="6886" width="12" customWidth="1"/>
    <col min="6887" max="6887" width="12" bestFit="1" customWidth="1"/>
    <col min="6888" max="6888" width="12.125" customWidth="1"/>
    <col min="6889" max="6889" width="12" bestFit="1" customWidth="1"/>
    <col min="6890" max="6890" width="13.375" customWidth="1"/>
    <col min="6891" max="6891" width="12" customWidth="1"/>
    <col min="6892" max="6892" width="10.875" customWidth="1"/>
    <col min="6893" max="6893" width="10.75" customWidth="1"/>
    <col min="6894" max="6894" width="11.75" customWidth="1"/>
    <col min="6895" max="6895" width="12.625" customWidth="1"/>
    <col min="6896" max="6896" width="15.375" customWidth="1"/>
    <col min="6897" max="6897" width="16.125" customWidth="1"/>
    <col min="6898" max="6898" width="18" customWidth="1"/>
    <col min="6899" max="6899" width="14.5" customWidth="1"/>
    <col min="6900" max="6901" width="10" customWidth="1"/>
    <col min="6902" max="6902" width="11.875" customWidth="1"/>
    <col min="7136" max="7136" width="12.625" customWidth="1"/>
    <col min="7137" max="7137" width="19.75" customWidth="1"/>
    <col min="7138" max="7138" width="9.25" customWidth="1"/>
    <col min="7139" max="7139" width="9.625" customWidth="1"/>
    <col min="7140" max="7141" width="10.875" bestFit="1" customWidth="1"/>
    <col min="7142" max="7142" width="12" customWidth="1"/>
    <col min="7143" max="7143" width="12" bestFit="1" customWidth="1"/>
    <col min="7144" max="7144" width="12.125" customWidth="1"/>
    <col min="7145" max="7145" width="12" bestFit="1" customWidth="1"/>
    <col min="7146" max="7146" width="13.375" customWidth="1"/>
    <col min="7147" max="7147" width="12" customWidth="1"/>
    <col min="7148" max="7148" width="10.875" customWidth="1"/>
    <col min="7149" max="7149" width="10.75" customWidth="1"/>
    <col min="7150" max="7150" width="11.75" customWidth="1"/>
    <col min="7151" max="7151" width="12.625" customWidth="1"/>
    <col min="7152" max="7152" width="15.375" customWidth="1"/>
    <col min="7153" max="7153" width="16.125" customWidth="1"/>
    <col min="7154" max="7154" width="18" customWidth="1"/>
    <col min="7155" max="7155" width="14.5" customWidth="1"/>
    <col min="7156" max="7157" width="10" customWidth="1"/>
    <col min="7158" max="7158" width="11.875" customWidth="1"/>
    <col min="7392" max="7392" width="12.625" customWidth="1"/>
    <col min="7393" max="7393" width="19.75" customWidth="1"/>
    <col min="7394" max="7394" width="9.25" customWidth="1"/>
    <col min="7395" max="7395" width="9.625" customWidth="1"/>
    <col min="7396" max="7397" width="10.875" bestFit="1" customWidth="1"/>
    <col min="7398" max="7398" width="12" customWidth="1"/>
    <col min="7399" max="7399" width="12" bestFit="1" customWidth="1"/>
    <col min="7400" max="7400" width="12.125" customWidth="1"/>
    <col min="7401" max="7401" width="12" bestFit="1" customWidth="1"/>
    <col min="7402" max="7402" width="13.375" customWidth="1"/>
    <col min="7403" max="7403" width="12" customWidth="1"/>
    <col min="7404" max="7404" width="10.875" customWidth="1"/>
    <col min="7405" max="7405" width="10.75" customWidth="1"/>
    <col min="7406" max="7406" width="11.75" customWidth="1"/>
    <col min="7407" max="7407" width="12.625" customWidth="1"/>
    <col min="7408" max="7408" width="15.375" customWidth="1"/>
    <col min="7409" max="7409" width="16.125" customWidth="1"/>
    <col min="7410" max="7410" width="18" customWidth="1"/>
    <col min="7411" max="7411" width="14.5" customWidth="1"/>
    <col min="7412" max="7413" width="10" customWidth="1"/>
    <col min="7414" max="7414" width="11.875" customWidth="1"/>
    <col min="7648" max="7648" width="12.625" customWidth="1"/>
    <col min="7649" max="7649" width="19.75" customWidth="1"/>
    <col min="7650" max="7650" width="9.25" customWidth="1"/>
    <col min="7651" max="7651" width="9.625" customWidth="1"/>
    <col min="7652" max="7653" width="10.875" bestFit="1" customWidth="1"/>
    <col min="7654" max="7654" width="12" customWidth="1"/>
    <col min="7655" max="7655" width="12" bestFit="1" customWidth="1"/>
    <col min="7656" max="7656" width="12.125" customWidth="1"/>
    <col min="7657" max="7657" width="12" bestFit="1" customWidth="1"/>
    <col min="7658" max="7658" width="13.375" customWidth="1"/>
    <col min="7659" max="7659" width="12" customWidth="1"/>
    <col min="7660" max="7660" width="10.875" customWidth="1"/>
    <col min="7661" max="7661" width="10.75" customWidth="1"/>
    <col min="7662" max="7662" width="11.75" customWidth="1"/>
    <col min="7663" max="7663" width="12.625" customWidth="1"/>
    <col min="7664" max="7664" width="15.375" customWidth="1"/>
    <col min="7665" max="7665" width="16.125" customWidth="1"/>
    <col min="7666" max="7666" width="18" customWidth="1"/>
    <col min="7667" max="7667" width="14.5" customWidth="1"/>
    <col min="7668" max="7669" width="10" customWidth="1"/>
    <col min="7670" max="7670" width="11.875" customWidth="1"/>
    <col min="7904" max="7904" width="12.625" customWidth="1"/>
    <col min="7905" max="7905" width="19.75" customWidth="1"/>
    <col min="7906" max="7906" width="9.25" customWidth="1"/>
    <col min="7907" max="7907" width="9.625" customWidth="1"/>
    <col min="7908" max="7909" width="10.875" bestFit="1" customWidth="1"/>
    <col min="7910" max="7910" width="12" customWidth="1"/>
    <col min="7911" max="7911" width="12" bestFit="1" customWidth="1"/>
    <col min="7912" max="7912" width="12.125" customWidth="1"/>
    <col min="7913" max="7913" width="12" bestFit="1" customWidth="1"/>
    <col min="7914" max="7914" width="13.375" customWidth="1"/>
    <col min="7915" max="7915" width="12" customWidth="1"/>
    <col min="7916" max="7916" width="10.875" customWidth="1"/>
    <col min="7917" max="7917" width="10.75" customWidth="1"/>
    <col min="7918" max="7918" width="11.75" customWidth="1"/>
    <col min="7919" max="7919" width="12.625" customWidth="1"/>
    <col min="7920" max="7920" width="15.375" customWidth="1"/>
    <col min="7921" max="7921" width="16.125" customWidth="1"/>
    <col min="7922" max="7922" width="18" customWidth="1"/>
    <col min="7923" max="7923" width="14.5" customWidth="1"/>
    <col min="7924" max="7925" width="10" customWidth="1"/>
    <col min="7926" max="7926" width="11.875" customWidth="1"/>
    <col min="8160" max="8160" width="12.625" customWidth="1"/>
    <col min="8161" max="8161" width="19.75" customWidth="1"/>
    <col min="8162" max="8162" width="9.25" customWidth="1"/>
    <col min="8163" max="8163" width="9.625" customWidth="1"/>
    <col min="8164" max="8165" width="10.875" bestFit="1" customWidth="1"/>
    <col min="8166" max="8166" width="12" customWidth="1"/>
    <col min="8167" max="8167" width="12" bestFit="1" customWidth="1"/>
    <col min="8168" max="8168" width="12.125" customWidth="1"/>
    <col min="8169" max="8169" width="12" bestFit="1" customWidth="1"/>
    <col min="8170" max="8170" width="13.375" customWidth="1"/>
    <col min="8171" max="8171" width="12" customWidth="1"/>
    <col min="8172" max="8172" width="10.875" customWidth="1"/>
    <col min="8173" max="8173" width="10.75" customWidth="1"/>
    <col min="8174" max="8174" width="11.75" customWidth="1"/>
    <col min="8175" max="8175" width="12.625" customWidth="1"/>
    <col min="8176" max="8176" width="15.375" customWidth="1"/>
    <col min="8177" max="8177" width="16.125" customWidth="1"/>
    <col min="8178" max="8178" width="18" customWidth="1"/>
    <col min="8179" max="8179" width="14.5" customWidth="1"/>
    <col min="8180" max="8181" width="10" customWidth="1"/>
    <col min="8182" max="8182" width="11.875" customWidth="1"/>
    <col min="8416" max="8416" width="12.625" customWidth="1"/>
    <col min="8417" max="8417" width="19.75" customWidth="1"/>
    <col min="8418" max="8418" width="9.25" customWidth="1"/>
    <col min="8419" max="8419" width="9.625" customWidth="1"/>
    <col min="8420" max="8421" width="10.875" bestFit="1" customWidth="1"/>
    <col min="8422" max="8422" width="12" customWidth="1"/>
    <col min="8423" max="8423" width="12" bestFit="1" customWidth="1"/>
    <col min="8424" max="8424" width="12.125" customWidth="1"/>
    <col min="8425" max="8425" width="12" bestFit="1" customWidth="1"/>
    <col min="8426" max="8426" width="13.375" customWidth="1"/>
    <col min="8427" max="8427" width="12" customWidth="1"/>
    <col min="8428" max="8428" width="10.875" customWidth="1"/>
    <col min="8429" max="8429" width="10.75" customWidth="1"/>
    <col min="8430" max="8430" width="11.75" customWidth="1"/>
    <col min="8431" max="8431" width="12.625" customWidth="1"/>
    <col min="8432" max="8432" width="15.375" customWidth="1"/>
    <col min="8433" max="8433" width="16.125" customWidth="1"/>
    <col min="8434" max="8434" width="18" customWidth="1"/>
    <col min="8435" max="8435" width="14.5" customWidth="1"/>
    <col min="8436" max="8437" width="10" customWidth="1"/>
    <col min="8438" max="8438" width="11.875" customWidth="1"/>
    <col min="8672" max="8672" width="12.625" customWidth="1"/>
    <col min="8673" max="8673" width="19.75" customWidth="1"/>
    <col min="8674" max="8674" width="9.25" customWidth="1"/>
    <col min="8675" max="8675" width="9.625" customWidth="1"/>
    <col min="8676" max="8677" width="10.875" bestFit="1" customWidth="1"/>
    <col min="8678" max="8678" width="12" customWidth="1"/>
    <col min="8679" max="8679" width="12" bestFit="1" customWidth="1"/>
    <col min="8680" max="8680" width="12.125" customWidth="1"/>
    <col min="8681" max="8681" width="12" bestFit="1" customWidth="1"/>
    <col min="8682" max="8682" width="13.375" customWidth="1"/>
    <col min="8683" max="8683" width="12" customWidth="1"/>
    <col min="8684" max="8684" width="10.875" customWidth="1"/>
    <col min="8685" max="8685" width="10.75" customWidth="1"/>
    <col min="8686" max="8686" width="11.75" customWidth="1"/>
    <col min="8687" max="8687" width="12.625" customWidth="1"/>
    <col min="8688" max="8688" width="15.375" customWidth="1"/>
    <col min="8689" max="8689" width="16.125" customWidth="1"/>
    <col min="8690" max="8690" width="18" customWidth="1"/>
    <col min="8691" max="8691" width="14.5" customWidth="1"/>
    <col min="8692" max="8693" width="10" customWidth="1"/>
    <col min="8694" max="8694" width="11.875" customWidth="1"/>
    <col min="8928" max="8928" width="12.625" customWidth="1"/>
    <col min="8929" max="8929" width="19.75" customWidth="1"/>
    <col min="8930" max="8930" width="9.25" customWidth="1"/>
    <col min="8931" max="8931" width="9.625" customWidth="1"/>
    <col min="8932" max="8933" width="10.875" bestFit="1" customWidth="1"/>
    <col min="8934" max="8934" width="12" customWidth="1"/>
    <col min="8935" max="8935" width="12" bestFit="1" customWidth="1"/>
    <col min="8936" max="8936" width="12.125" customWidth="1"/>
    <col min="8937" max="8937" width="12" bestFit="1" customWidth="1"/>
    <col min="8938" max="8938" width="13.375" customWidth="1"/>
    <col min="8939" max="8939" width="12" customWidth="1"/>
    <col min="8940" max="8940" width="10.875" customWidth="1"/>
    <col min="8941" max="8941" width="10.75" customWidth="1"/>
    <col min="8942" max="8942" width="11.75" customWidth="1"/>
    <col min="8943" max="8943" width="12.625" customWidth="1"/>
    <col min="8944" max="8944" width="15.375" customWidth="1"/>
    <col min="8945" max="8945" width="16.125" customWidth="1"/>
    <col min="8946" max="8946" width="18" customWidth="1"/>
    <col min="8947" max="8947" width="14.5" customWidth="1"/>
    <col min="8948" max="8949" width="10" customWidth="1"/>
    <col min="8950" max="8950" width="11.875" customWidth="1"/>
    <col min="9184" max="9184" width="12.625" customWidth="1"/>
    <col min="9185" max="9185" width="19.75" customWidth="1"/>
    <col min="9186" max="9186" width="9.25" customWidth="1"/>
    <col min="9187" max="9187" width="9.625" customWidth="1"/>
    <col min="9188" max="9189" width="10.875" bestFit="1" customWidth="1"/>
    <col min="9190" max="9190" width="12" customWidth="1"/>
    <col min="9191" max="9191" width="12" bestFit="1" customWidth="1"/>
    <col min="9192" max="9192" width="12.125" customWidth="1"/>
    <col min="9193" max="9193" width="12" bestFit="1" customWidth="1"/>
    <col min="9194" max="9194" width="13.375" customWidth="1"/>
    <col min="9195" max="9195" width="12" customWidth="1"/>
    <col min="9196" max="9196" width="10.875" customWidth="1"/>
    <col min="9197" max="9197" width="10.75" customWidth="1"/>
    <col min="9198" max="9198" width="11.75" customWidth="1"/>
    <col min="9199" max="9199" width="12.625" customWidth="1"/>
    <col min="9200" max="9200" width="15.375" customWidth="1"/>
    <col min="9201" max="9201" width="16.125" customWidth="1"/>
    <col min="9202" max="9202" width="18" customWidth="1"/>
    <col min="9203" max="9203" width="14.5" customWidth="1"/>
    <col min="9204" max="9205" width="10" customWidth="1"/>
    <col min="9206" max="9206" width="11.875" customWidth="1"/>
    <col min="9440" max="9440" width="12.625" customWidth="1"/>
    <col min="9441" max="9441" width="19.75" customWidth="1"/>
    <col min="9442" max="9442" width="9.25" customWidth="1"/>
    <col min="9443" max="9443" width="9.625" customWidth="1"/>
    <col min="9444" max="9445" width="10.875" bestFit="1" customWidth="1"/>
    <col min="9446" max="9446" width="12" customWidth="1"/>
    <col min="9447" max="9447" width="12" bestFit="1" customWidth="1"/>
    <col min="9448" max="9448" width="12.125" customWidth="1"/>
    <col min="9449" max="9449" width="12" bestFit="1" customWidth="1"/>
    <col min="9450" max="9450" width="13.375" customWidth="1"/>
    <col min="9451" max="9451" width="12" customWidth="1"/>
    <col min="9452" max="9452" width="10.875" customWidth="1"/>
    <col min="9453" max="9453" width="10.75" customWidth="1"/>
    <col min="9454" max="9454" width="11.75" customWidth="1"/>
    <col min="9455" max="9455" width="12.625" customWidth="1"/>
    <col min="9456" max="9456" width="15.375" customWidth="1"/>
    <col min="9457" max="9457" width="16.125" customWidth="1"/>
    <col min="9458" max="9458" width="18" customWidth="1"/>
    <col min="9459" max="9459" width="14.5" customWidth="1"/>
    <col min="9460" max="9461" width="10" customWidth="1"/>
    <col min="9462" max="9462" width="11.875" customWidth="1"/>
    <col min="9696" max="9696" width="12.625" customWidth="1"/>
    <col min="9697" max="9697" width="19.75" customWidth="1"/>
    <col min="9698" max="9698" width="9.25" customWidth="1"/>
    <col min="9699" max="9699" width="9.625" customWidth="1"/>
    <col min="9700" max="9701" width="10.875" bestFit="1" customWidth="1"/>
    <col min="9702" max="9702" width="12" customWidth="1"/>
    <col min="9703" max="9703" width="12" bestFit="1" customWidth="1"/>
    <col min="9704" max="9704" width="12.125" customWidth="1"/>
    <col min="9705" max="9705" width="12" bestFit="1" customWidth="1"/>
    <col min="9706" max="9706" width="13.375" customWidth="1"/>
    <col min="9707" max="9707" width="12" customWidth="1"/>
    <col min="9708" max="9708" width="10.875" customWidth="1"/>
    <col min="9709" max="9709" width="10.75" customWidth="1"/>
    <col min="9710" max="9710" width="11.75" customWidth="1"/>
    <col min="9711" max="9711" width="12.625" customWidth="1"/>
    <col min="9712" max="9712" width="15.375" customWidth="1"/>
    <col min="9713" max="9713" width="16.125" customWidth="1"/>
    <col min="9714" max="9714" width="18" customWidth="1"/>
    <col min="9715" max="9715" width="14.5" customWidth="1"/>
    <col min="9716" max="9717" width="10" customWidth="1"/>
    <col min="9718" max="9718" width="11.875" customWidth="1"/>
    <col min="9952" max="9952" width="12.625" customWidth="1"/>
    <col min="9953" max="9953" width="19.75" customWidth="1"/>
    <col min="9954" max="9954" width="9.25" customWidth="1"/>
    <col min="9955" max="9955" width="9.625" customWidth="1"/>
    <col min="9956" max="9957" width="10.875" bestFit="1" customWidth="1"/>
    <col min="9958" max="9958" width="12" customWidth="1"/>
    <col min="9959" max="9959" width="12" bestFit="1" customWidth="1"/>
    <col min="9960" max="9960" width="12.125" customWidth="1"/>
    <col min="9961" max="9961" width="12" bestFit="1" customWidth="1"/>
    <col min="9962" max="9962" width="13.375" customWidth="1"/>
    <col min="9963" max="9963" width="12" customWidth="1"/>
    <col min="9964" max="9964" width="10.875" customWidth="1"/>
    <col min="9965" max="9965" width="10.75" customWidth="1"/>
    <col min="9966" max="9966" width="11.75" customWidth="1"/>
    <col min="9967" max="9967" width="12.625" customWidth="1"/>
    <col min="9968" max="9968" width="15.375" customWidth="1"/>
    <col min="9969" max="9969" width="16.125" customWidth="1"/>
    <col min="9970" max="9970" width="18" customWidth="1"/>
    <col min="9971" max="9971" width="14.5" customWidth="1"/>
    <col min="9972" max="9973" width="10" customWidth="1"/>
    <col min="9974" max="9974" width="11.875" customWidth="1"/>
    <col min="10208" max="10208" width="12.625" customWidth="1"/>
    <col min="10209" max="10209" width="19.75" customWidth="1"/>
    <col min="10210" max="10210" width="9.25" customWidth="1"/>
    <col min="10211" max="10211" width="9.625" customWidth="1"/>
    <col min="10212" max="10213" width="10.875" bestFit="1" customWidth="1"/>
    <col min="10214" max="10214" width="12" customWidth="1"/>
    <col min="10215" max="10215" width="12" bestFit="1" customWidth="1"/>
    <col min="10216" max="10216" width="12.125" customWidth="1"/>
    <col min="10217" max="10217" width="12" bestFit="1" customWidth="1"/>
    <col min="10218" max="10218" width="13.375" customWidth="1"/>
    <col min="10219" max="10219" width="12" customWidth="1"/>
    <col min="10220" max="10220" width="10.875" customWidth="1"/>
    <col min="10221" max="10221" width="10.75" customWidth="1"/>
    <col min="10222" max="10222" width="11.75" customWidth="1"/>
    <col min="10223" max="10223" width="12.625" customWidth="1"/>
    <col min="10224" max="10224" width="15.375" customWidth="1"/>
    <col min="10225" max="10225" width="16.125" customWidth="1"/>
    <col min="10226" max="10226" width="18" customWidth="1"/>
    <col min="10227" max="10227" width="14.5" customWidth="1"/>
    <col min="10228" max="10229" width="10" customWidth="1"/>
    <col min="10230" max="10230" width="11.875" customWidth="1"/>
    <col min="10464" max="10464" width="12.625" customWidth="1"/>
    <col min="10465" max="10465" width="19.75" customWidth="1"/>
    <col min="10466" max="10466" width="9.25" customWidth="1"/>
    <col min="10467" max="10467" width="9.625" customWidth="1"/>
    <col min="10468" max="10469" width="10.875" bestFit="1" customWidth="1"/>
    <col min="10470" max="10470" width="12" customWidth="1"/>
    <col min="10471" max="10471" width="12" bestFit="1" customWidth="1"/>
    <col min="10472" max="10472" width="12.125" customWidth="1"/>
    <col min="10473" max="10473" width="12" bestFit="1" customWidth="1"/>
    <col min="10474" max="10474" width="13.375" customWidth="1"/>
    <col min="10475" max="10475" width="12" customWidth="1"/>
    <col min="10476" max="10476" width="10.875" customWidth="1"/>
    <col min="10477" max="10477" width="10.75" customWidth="1"/>
    <col min="10478" max="10478" width="11.75" customWidth="1"/>
    <col min="10479" max="10479" width="12.625" customWidth="1"/>
    <col min="10480" max="10480" width="15.375" customWidth="1"/>
    <col min="10481" max="10481" width="16.125" customWidth="1"/>
    <col min="10482" max="10482" width="18" customWidth="1"/>
    <col min="10483" max="10483" width="14.5" customWidth="1"/>
    <col min="10484" max="10485" width="10" customWidth="1"/>
    <col min="10486" max="10486" width="11.875" customWidth="1"/>
    <col min="10720" max="10720" width="12.625" customWidth="1"/>
    <col min="10721" max="10721" width="19.75" customWidth="1"/>
    <col min="10722" max="10722" width="9.25" customWidth="1"/>
    <col min="10723" max="10723" width="9.625" customWidth="1"/>
    <col min="10724" max="10725" width="10.875" bestFit="1" customWidth="1"/>
    <col min="10726" max="10726" width="12" customWidth="1"/>
    <col min="10727" max="10727" width="12" bestFit="1" customWidth="1"/>
    <col min="10728" max="10728" width="12.125" customWidth="1"/>
    <col min="10729" max="10729" width="12" bestFit="1" customWidth="1"/>
    <col min="10730" max="10730" width="13.375" customWidth="1"/>
    <col min="10731" max="10731" width="12" customWidth="1"/>
    <col min="10732" max="10732" width="10.875" customWidth="1"/>
    <col min="10733" max="10733" width="10.75" customWidth="1"/>
    <col min="10734" max="10734" width="11.75" customWidth="1"/>
    <col min="10735" max="10735" width="12.625" customWidth="1"/>
    <col min="10736" max="10736" width="15.375" customWidth="1"/>
    <col min="10737" max="10737" width="16.125" customWidth="1"/>
    <col min="10738" max="10738" width="18" customWidth="1"/>
    <col min="10739" max="10739" width="14.5" customWidth="1"/>
    <col min="10740" max="10741" width="10" customWidth="1"/>
    <col min="10742" max="10742" width="11.875" customWidth="1"/>
    <col min="10976" max="10976" width="12.625" customWidth="1"/>
    <col min="10977" max="10977" width="19.75" customWidth="1"/>
    <col min="10978" max="10978" width="9.25" customWidth="1"/>
    <col min="10979" max="10979" width="9.625" customWidth="1"/>
    <col min="10980" max="10981" width="10.875" bestFit="1" customWidth="1"/>
    <col min="10982" max="10982" width="12" customWidth="1"/>
    <col min="10983" max="10983" width="12" bestFit="1" customWidth="1"/>
    <col min="10984" max="10984" width="12.125" customWidth="1"/>
    <col min="10985" max="10985" width="12" bestFit="1" customWidth="1"/>
    <col min="10986" max="10986" width="13.375" customWidth="1"/>
    <col min="10987" max="10987" width="12" customWidth="1"/>
    <col min="10988" max="10988" width="10.875" customWidth="1"/>
    <col min="10989" max="10989" width="10.75" customWidth="1"/>
    <col min="10990" max="10990" width="11.75" customWidth="1"/>
    <col min="10991" max="10991" width="12.625" customWidth="1"/>
    <col min="10992" max="10992" width="15.375" customWidth="1"/>
    <col min="10993" max="10993" width="16.125" customWidth="1"/>
    <col min="10994" max="10994" width="18" customWidth="1"/>
    <col min="10995" max="10995" width="14.5" customWidth="1"/>
    <col min="10996" max="10997" width="10" customWidth="1"/>
    <col min="10998" max="10998" width="11.875" customWidth="1"/>
    <col min="11232" max="11232" width="12.625" customWidth="1"/>
    <col min="11233" max="11233" width="19.75" customWidth="1"/>
    <col min="11234" max="11234" width="9.25" customWidth="1"/>
    <col min="11235" max="11235" width="9.625" customWidth="1"/>
    <col min="11236" max="11237" width="10.875" bestFit="1" customWidth="1"/>
    <col min="11238" max="11238" width="12" customWidth="1"/>
    <col min="11239" max="11239" width="12" bestFit="1" customWidth="1"/>
    <col min="11240" max="11240" width="12.125" customWidth="1"/>
    <col min="11241" max="11241" width="12" bestFit="1" customWidth="1"/>
    <col min="11242" max="11242" width="13.375" customWidth="1"/>
    <col min="11243" max="11243" width="12" customWidth="1"/>
    <col min="11244" max="11244" width="10.875" customWidth="1"/>
    <col min="11245" max="11245" width="10.75" customWidth="1"/>
    <col min="11246" max="11246" width="11.75" customWidth="1"/>
    <col min="11247" max="11247" width="12.625" customWidth="1"/>
    <col min="11248" max="11248" width="15.375" customWidth="1"/>
    <col min="11249" max="11249" width="16.125" customWidth="1"/>
    <col min="11250" max="11250" width="18" customWidth="1"/>
    <col min="11251" max="11251" width="14.5" customWidth="1"/>
    <col min="11252" max="11253" width="10" customWidth="1"/>
    <col min="11254" max="11254" width="11.875" customWidth="1"/>
    <col min="11488" max="11488" width="12.625" customWidth="1"/>
    <col min="11489" max="11489" width="19.75" customWidth="1"/>
    <col min="11490" max="11490" width="9.25" customWidth="1"/>
    <col min="11491" max="11491" width="9.625" customWidth="1"/>
    <col min="11492" max="11493" width="10.875" bestFit="1" customWidth="1"/>
    <col min="11494" max="11494" width="12" customWidth="1"/>
    <col min="11495" max="11495" width="12" bestFit="1" customWidth="1"/>
    <col min="11496" max="11496" width="12.125" customWidth="1"/>
    <col min="11497" max="11497" width="12" bestFit="1" customWidth="1"/>
    <col min="11498" max="11498" width="13.375" customWidth="1"/>
    <col min="11499" max="11499" width="12" customWidth="1"/>
    <col min="11500" max="11500" width="10.875" customWidth="1"/>
    <col min="11501" max="11501" width="10.75" customWidth="1"/>
    <col min="11502" max="11502" width="11.75" customWidth="1"/>
    <col min="11503" max="11503" width="12.625" customWidth="1"/>
    <col min="11504" max="11504" width="15.375" customWidth="1"/>
    <col min="11505" max="11505" width="16.125" customWidth="1"/>
    <col min="11506" max="11506" width="18" customWidth="1"/>
    <col min="11507" max="11507" width="14.5" customWidth="1"/>
    <col min="11508" max="11509" width="10" customWidth="1"/>
    <col min="11510" max="11510" width="11.875" customWidth="1"/>
    <col min="11744" max="11744" width="12.625" customWidth="1"/>
    <col min="11745" max="11745" width="19.75" customWidth="1"/>
    <col min="11746" max="11746" width="9.25" customWidth="1"/>
    <col min="11747" max="11747" width="9.625" customWidth="1"/>
    <col min="11748" max="11749" width="10.875" bestFit="1" customWidth="1"/>
    <col min="11750" max="11750" width="12" customWidth="1"/>
    <col min="11751" max="11751" width="12" bestFit="1" customWidth="1"/>
    <col min="11752" max="11752" width="12.125" customWidth="1"/>
    <col min="11753" max="11753" width="12" bestFit="1" customWidth="1"/>
    <col min="11754" max="11754" width="13.375" customWidth="1"/>
    <col min="11755" max="11755" width="12" customWidth="1"/>
    <col min="11756" max="11756" width="10.875" customWidth="1"/>
    <col min="11757" max="11757" width="10.75" customWidth="1"/>
    <col min="11758" max="11758" width="11.75" customWidth="1"/>
    <col min="11759" max="11759" width="12.625" customWidth="1"/>
    <col min="11760" max="11760" width="15.375" customWidth="1"/>
    <col min="11761" max="11761" width="16.125" customWidth="1"/>
    <col min="11762" max="11762" width="18" customWidth="1"/>
    <col min="11763" max="11763" width="14.5" customWidth="1"/>
    <col min="11764" max="11765" width="10" customWidth="1"/>
    <col min="11766" max="11766" width="11.875" customWidth="1"/>
    <col min="12000" max="12000" width="12.625" customWidth="1"/>
    <col min="12001" max="12001" width="19.75" customWidth="1"/>
    <col min="12002" max="12002" width="9.25" customWidth="1"/>
    <col min="12003" max="12003" width="9.625" customWidth="1"/>
    <col min="12004" max="12005" width="10.875" bestFit="1" customWidth="1"/>
    <col min="12006" max="12006" width="12" customWidth="1"/>
    <col min="12007" max="12007" width="12" bestFit="1" customWidth="1"/>
    <col min="12008" max="12008" width="12.125" customWidth="1"/>
    <col min="12009" max="12009" width="12" bestFit="1" customWidth="1"/>
    <col min="12010" max="12010" width="13.375" customWidth="1"/>
    <col min="12011" max="12011" width="12" customWidth="1"/>
    <col min="12012" max="12012" width="10.875" customWidth="1"/>
    <col min="12013" max="12013" width="10.75" customWidth="1"/>
    <col min="12014" max="12014" width="11.75" customWidth="1"/>
    <col min="12015" max="12015" width="12.625" customWidth="1"/>
    <col min="12016" max="12016" width="15.375" customWidth="1"/>
    <col min="12017" max="12017" width="16.125" customWidth="1"/>
    <col min="12018" max="12018" width="18" customWidth="1"/>
    <col min="12019" max="12019" width="14.5" customWidth="1"/>
    <col min="12020" max="12021" width="10" customWidth="1"/>
    <col min="12022" max="12022" width="11.875" customWidth="1"/>
    <col min="12256" max="12256" width="12.625" customWidth="1"/>
    <col min="12257" max="12257" width="19.75" customWidth="1"/>
    <col min="12258" max="12258" width="9.25" customWidth="1"/>
    <col min="12259" max="12259" width="9.625" customWidth="1"/>
    <col min="12260" max="12261" width="10.875" bestFit="1" customWidth="1"/>
    <col min="12262" max="12262" width="12" customWidth="1"/>
    <col min="12263" max="12263" width="12" bestFit="1" customWidth="1"/>
    <col min="12264" max="12264" width="12.125" customWidth="1"/>
    <col min="12265" max="12265" width="12" bestFit="1" customWidth="1"/>
    <col min="12266" max="12266" width="13.375" customWidth="1"/>
    <col min="12267" max="12267" width="12" customWidth="1"/>
    <col min="12268" max="12268" width="10.875" customWidth="1"/>
    <col min="12269" max="12269" width="10.75" customWidth="1"/>
    <col min="12270" max="12270" width="11.75" customWidth="1"/>
    <col min="12271" max="12271" width="12.625" customWidth="1"/>
    <col min="12272" max="12272" width="15.375" customWidth="1"/>
    <col min="12273" max="12273" width="16.125" customWidth="1"/>
    <col min="12274" max="12274" width="18" customWidth="1"/>
    <col min="12275" max="12275" width="14.5" customWidth="1"/>
    <col min="12276" max="12277" width="10" customWidth="1"/>
    <col min="12278" max="12278" width="11.875" customWidth="1"/>
    <col min="12512" max="12512" width="12.625" customWidth="1"/>
    <col min="12513" max="12513" width="19.75" customWidth="1"/>
    <col min="12514" max="12514" width="9.25" customWidth="1"/>
    <col min="12515" max="12515" width="9.625" customWidth="1"/>
    <col min="12516" max="12517" width="10.875" bestFit="1" customWidth="1"/>
    <col min="12518" max="12518" width="12" customWidth="1"/>
    <col min="12519" max="12519" width="12" bestFit="1" customWidth="1"/>
    <col min="12520" max="12520" width="12.125" customWidth="1"/>
    <col min="12521" max="12521" width="12" bestFit="1" customWidth="1"/>
    <col min="12522" max="12522" width="13.375" customWidth="1"/>
    <col min="12523" max="12523" width="12" customWidth="1"/>
    <col min="12524" max="12524" width="10.875" customWidth="1"/>
    <col min="12525" max="12525" width="10.75" customWidth="1"/>
    <col min="12526" max="12526" width="11.75" customWidth="1"/>
    <col min="12527" max="12527" width="12.625" customWidth="1"/>
    <col min="12528" max="12528" width="15.375" customWidth="1"/>
    <col min="12529" max="12529" width="16.125" customWidth="1"/>
    <col min="12530" max="12530" width="18" customWidth="1"/>
    <col min="12531" max="12531" width="14.5" customWidth="1"/>
    <col min="12532" max="12533" width="10" customWidth="1"/>
    <col min="12534" max="12534" width="11.875" customWidth="1"/>
    <col min="12768" max="12768" width="12.625" customWidth="1"/>
    <col min="12769" max="12769" width="19.75" customWidth="1"/>
    <col min="12770" max="12770" width="9.25" customWidth="1"/>
    <col min="12771" max="12771" width="9.625" customWidth="1"/>
    <col min="12772" max="12773" width="10.875" bestFit="1" customWidth="1"/>
    <col min="12774" max="12774" width="12" customWidth="1"/>
    <col min="12775" max="12775" width="12" bestFit="1" customWidth="1"/>
    <col min="12776" max="12776" width="12.125" customWidth="1"/>
    <col min="12777" max="12777" width="12" bestFit="1" customWidth="1"/>
    <col min="12778" max="12778" width="13.375" customWidth="1"/>
    <col min="12779" max="12779" width="12" customWidth="1"/>
    <col min="12780" max="12780" width="10.875" customWidth="1"/>
    <col min="12781" max="12781" width="10.75" customWidth="1"/>
    <col min="12782" max="12782" width="11.75" customWidth="1"/>
    <col min="12783" max="12783" width="12.625" customWidth="1"/>
    <col min="12784" max="12784" width="15.375" customWidth="1"/>
    <col min="12785" max="12785" width="16.125" customWidth="1"/>
    <col min="12786" max="12786" width="18" customWidth="1"/>
    <col min="12787" max="12787" width="14.5" customWidth="1"/>
    <col min="12788" max="12789" width="10" customWidth="1"/>
    <col min="12790" max="12790" width="11.875" customWidth="1"/>
    <col min="13024" max="13024" width="12.625" customWidth="1"/>
    <col min="13025" max="13025" width="19.75" customWidth="1"/>
    <col min="13026" max="13026" width="9.25" customWidth="1"/>
    <col min="13027" max="13027" width="9.625" customWidth="1"/>
    <col min="13028" max="13029" width="10.875" bestFit="1" customWidth="1"/>
    <col min="13030" max="13030" width="12" customWidth="1"/>
    <col min="13031" max="13031" width="12" bestFit="1" customWidth="1"/>
    <col min="13032" max="13032" width="12.125" customWidth="1"/>
    <col min="13033" max="13033" width="12" bestFit="1" customWidth="1"/>
    <col min="13034" max="13034" width="13.375" customWidth="1"/>
    <col min="13035" max="13035" width="12" customWidth="1"/>
    <col min="13036" max="13036" width="10.875" customWidth="1"/>
    <col min="13037" max="13037" width="10.75" customWidth="1"/>
    <col min="13038" max="13038" width="11.75" customWidth="1"/>
    <col min="13039" max="13039" width="12.625" customWidth="1"/>
    <col min="13040" max="13040" width="15.375" customWidth="1"/>
    <col min="13041" max="13041" width="16.125" customWidth="1"/>
    <col min="13042" max="13042" width="18" customWidth="1"/>
    <col min="13043" max="13043" width="14.5" customWidth="1"/>
    <col min="13044" max="13045" width="10" customWidth="1"/>
    <col min="13046" max="13046" width="11.875" customWidth="1"/>
    <col min="13280" max="13280" width="12.625" customWidth="1"/>
    <col min="13281" max="13281" width="19.75" customWidth="1"/>
    <col min="13282" max="13282" width="9.25" customWidth="1"/>
    <col min="13283" max="13283" width="9.625" customWidth="1"/>
    <col min="13284" max="13285" width="10.875" bestFit="1" customWidth="1"/>
    <col min="13286" max="13286" width="12" customWidth="1"/>
    <col min="13287" max="13287" width="12" bestFit="1" customWidth="1"/>
    <col min="13288" max="13288" width="12.125" customWidth="1"/>
    <col min="13289" max="13289" width="12" bestFit="1" customWidth="1"/>
    <col min="13290" max="13290" width="13.375" customWidth="1"/>
    <col min="13291" max="13291" width="12" customWidth="1"/>
    <col min="13292" max="13292" width="10.875" customWidth="1"/>
    <col min="13293" max="13293" width="10.75" customWidth="1"/>
    <col min="13294" max="13294" width="11.75" customWidth="1"/>
    <col min="13295" max="13295" width="12.625" customWidth="1"/>
    <col min="13296" max="13296" width="15.375" customWidth="1"/>
    <col min="13297" max="13297" width="16.125" customWidth="1"/>
    <col min="13298" max="13298" width="18" customWidth="1"/>
    <col min="13299" max="13299" width="14.5" customWidth="1"/>
    <col min="13300" max="13301" width="10" customWidth="1"/>
    <col min="13302" max="13302" width="11.875" customWidth="1"/>
    <col min="13536" max="13536" width="12.625" customWidth="1"/>
    <col min="13537" max="13537" width="19.75" customWidth="1"/>
    <col min="13538" max="13538" width="9.25" customWidth="1"/>
    <col min="13539" max="13539" width="9.625" customWidth="1"/>
    <col min="13540" max="13541" width="10.875" bestFit="1" customWidth="1"/>
    <col min="13542" max="13542" width="12" customWidth="1"/>
    <col min="13543" max="13543" width="12" bestFit="1" customWidth="1"/>
    <col min="13544" max="13544" width="12.125" customWidth="1"/>
    <col min="13545" max="13545" width="12" bestFit="1" customWidth="1"/>
    <col min="13546" max="13546" width="13.375" customWidth="1"/>
    <col min="13547" max="13547" width="12" customWidth="1"/>
    <col min="13548" max="13548" width="10.875" customWidth="1"/>
    <col min="13549" max="13549" width="10.75" customWidth="1"/>
    <col min="13550" max="13550" width="11.75" customWidth="1"/>
    <col min="13551" max="13551" width="12.625" customWidth="1"/>
    <col min="13552" max="13552" width="15.375" customWidth="1"/>
    <col min="13553" max="13553" width="16.125" customWidth="1"/>
    <col min="13554" max="13554" width="18" customWidth="1"/>
    <col min="13555" max="13555" width="14.5" customWidth="1"/>
    <col min="13556" max="13557" width="10" customWidth="1"/>
    <col min="13558" max="13558" width="11.875" customWidth="1"/>
    <col min="13792" max="13792" width="12.625" customWidth="1"/>
    <col min="13793" max="13793" width="19.75" customWidth="1"/>
    <col min="13794" max="13794" width="9.25" customWidth="1"/>
    <col min="13795" max="13795" width="9.625" customWidth="1"/>
    <col min="13796" max="13797" width="10.875" bestFit="1" customWidth="1"/>
    <col min="13798" max="13798" width="12" customWidth="1"/>
    <col min="13799" max="13799" width="12" bestFit="1" customWidth="1"/>
    <col min="13800" max="13800" width="12.125" customWidth="1"/>
    <col min="13801" max="13801" width="12" bestFit="1" customWidth="1"/>
    <col min="13802" max="13802" width="13.375" customWidth="1"/>
    <col min="13803" max="13803" width="12" customWidth="1"/>
    <col min="13804" max="13804" width="10.875" customWidth="1"/>
    <col min="13805" max="13805" width="10.75" customWidth="1"/>
    <col min="13806" max="13806" width="11.75" customWidth="1"/>
    <col min="13807" max="13807" width="12.625" customWidth="1"/>
    <col min="13808" max="13808" width="15.375" customWidth="1"/>
    <col min="13809" max="13809" width="16.125" customWidth="1"/>
    <col min="13810" max="13810" width="18" customWidth="1"/>
    <col min="13811" max="13811" width="14.5" customWidth="1"/>
    <col min="13812" max="13813" width="10" customWidth="1"/>
    <col min="13814" max="13814" width="11.875" customWidth="1"/>
    <col min="14048" max="14048" width="12.625" customWidth="1"/>
    <col min="14049" max="14049" width="19.75" customWidth="1"/>
    <col min="14050" max="14050" width="9.25" customWidth="1"/>
    <col min="14051" max="14051" width="9.625" customWidth="1"/>
    <col min="14052" max="14053" width="10.875" bestFit="1" customWidth="1"/>
    <col min="14054" max="14054" width="12" customWidth="1"/>
    <col min="14055" max="14055" width="12" bestFit="1" customWidth="1"/>
    <col min="14056" max="14056" width="12.125" customWidth="1"/>
    <col min="14057" max="14057" width="12" bestFit="1" customWidth="1"/>
    <col min="14058" max="14058" width="13.375" customWidth="1"/>
    <col min="14059" max="14059" width="12" customWidth="1"/>
    <col min="14060" max="14060" width="10.875" customWidth="1"/>
    <col min="14061" max="14061" width="10.75" customWidth="1"/>
    <col min="14062" max="14062" width="11.75" customWidth="1"/>
    <col min="14063" max="14063" width="12.625" customWidth="1"/>
    <col min="14064" max="14064" width="15.375" customWidth="1"/>
    <col min="14065" max="14065" width="16.125" customWidth="1"/>
    <col min="14066" max="14066" width="18" customWidth="1"/>
    <col min="14067" max="14067" width="14.5" customWidth="1"/>
    <col min="14068" max="14069" width="10" customWidth="1"/>
    <col min="14070" max="14070" width="11.875" customWidth="1"/>
    <col min="14304" max="14304" width="12.625" customWidth="1"/>
    <col min="14305" max="14305" width="19.75" customWidth="1"/>
    <col min="14306" max="14306" width="9.25" customWidth="1"/>
    <col min="14307" max="14307" width="9.625" customWidth="1"/>
    <col min="14308" max="14309" width="10.875" bestFit="1" customWidth="1"/>
    <col min="14310" max="14310" width="12" customWidth="1"/>
    <col min="14311" max="14311" width="12" bestFit="1" customWidth="1"/>
    <col min="14312" max="14312" width="12.125" customWidth="1"/>
    <col min="14313" max="14313" width="12" bestFit="1" customWidth="1"/>
    <col min="14314" max="14314" width="13.375" customWidth="1"/>
    <col min="14315" max="14315" width="12" customWidth="1"/>
    <col min="14316" max="14316" width="10.875" customWidth="1"/>
    <col min="14317" max="14317" width="10.75" customWidth="1"/>
    <col min="14318" max="14318" width="11.75" customWidth="1"/>
    <col min="14319" max="14319" width="12.625" customWidth="1"/>
    <col min="14320" max="14320" width="15.375" customWidth="1"/>
    <col min="14321" max="14321" width="16.125" customWidth="1"/>
    <col min="14322" max="14322" width="18" customWidth="1"/>
    <col min="14323" max="14323" width="14.5" customWidth="1"/>
    <col min="14324" max="14325" width="10" customWidth="1"/>
    <col min="14326" max="14326" width="11.875" customWidth="1"/>
    <col min="14560" max="14560" width="12.625" customWidth="1"/>
    <col min="14561" max="14561" width="19.75" customWidth="1"/>
    <col min="14562" max="14562" width="9.25" customWidth="1"/>
    <col min="14563" max="14563" width="9.625" customWidth="1"/>
    <col min="14564" max="14565" width="10.875" bestFit="1" customWidth="1"/>
    <col min="14566" max="14566" width="12" customWidth="1"/>
    <col min="14567" max="14567" width="12" bestFit="1" customWidth="1"/>
    <col min="14568" max="14568" width="12.125" customWidth="1"/>
    <col min="14569" max="14569" width="12" bestFit="1" customWidth="1"/>
    <col min="14570" max="14570" width="13.375" customWidth="1"/>
    <col min="14571" max="14571" width="12" customWidth="1"/>
    <col min="14572" max="14572" width="10.875" customWidth="1"/>
    <col min="14573" max="14573" width="10.75" customWidth="1"/>
    <col min="14574" max="14574" width="11.75" customWidth="1"/>
    <col min="14575" max="14575" width="12.625" customWidth="1"/>
    <col min="14576" max="14576" width="15.375" customWidth="1"/>
    <col min="14577" max="14577" width="16.125" customWidth="1"/>
    <col min="14578" max="14578" width="18" customWidth="1"/>
    <col min="14579" max="14579" width="14.5" customWidth="1"/>
    <col min="14580" max="14581" width="10" customWidth="1"/>
    <col min="14582" max="14582" width="11.875" customWidth="1"/>
    <col min="14816" max="14816" width="12.625" customWidth="1"/>
    <col min="14817" max="14817" width="19.75" customWidth="1"/>
    <col min="14818" max="14818" width="9.25" customWidth="1"/>
    <col min="14819" max="14819" width="9.625" customWidth="1"/>
    <col min="14820" max="14821" width="10.875" bestFit="1" customWidth="1"/>
    <col min="14822" max="14822" width="12" customWidth="1"/>
    <col min="14823" max="14823" width="12" bestFit="1" customWidth="1"/>
    <col min="14824" max="14824" width="12.125" customWidth="1"/>
    <col min="14825" max="14825" width="12" bestFit="1" customWidth="1"/>
    <col min="14826" max="14826" width="13.375" customWidth="1"/>
    <col min="14827" max="14827" width="12" customWidth="1"/>
    <col min="14828" max="14828" width="10.875" customWidth="1"/>
    <col min="14829" max="14829" width="10.75" customWidth="1"/>
    <col min="14830" max="14830" width="11.75" customWidth="1"/>
    <col min="14831" max="14831" width="12.625" customWidth="1"/>
    <col min="14832" max="14832" width="15.375" customWidth="1"/>
    <col min="14833" max="14833" width="16.125" customWidth="1"/>
    <col min="14834" max="14834" width="18" customWidth="1"/>
    <col min="14835" max="14835" width="14.5" customWidth="1"/>
    <col min="14836" max="14837" width="10" customWidth="1"/>
    <col min="14838" max="14838" width="11.875" customWidth="1"/>
    <col min="15072" max="15072" width="12.625" customWidth="1"/>
    <col min="15073" max="15073" width="19.75" customWidth="1"/>
    <col min="15074" max="15074" width="9.25" customWidth="1"/>
    <col min="15075" max="15075" width="9.625" customWidth="1"/>
    <col min="15076" max="15077" width="10.875" bestFit="1" customWidth="1"/>
    <col min="15078" max="15078" width="12" customWidth="1"/>
    <col min="15079" max="15079" width="12" bestFit="1" customWidth="1"/>
    <col min="15080" max="15080" width="12.125" customWidth="1"/>
    <col min="15081" max="15081" width="12" bestFit="1" customWidth="1"/>
    <col min="15082" max="15082" width="13.375" customWidth="1"/>
    <col min="15083" max="15083" width="12" customWidth="1"/>
    <col min="15084" max="15084" width="10.875" customWidth="1"/>
    <col min="15085" max="15085" width="10.75" customWidth="1"/>
    <col min="15086" max="15086" width="11.75" customWidth="1"/>
    <col min="15087" max="15087" width="12.625" customWidth="1"/>
    <col min="15088" max="15088" width="15.375" customWidth="1"/>
    <col min="15089" max="15089" width="16.125" customWidth="1"/>
    <col min="15090" max="15090" width="18" customWidth="1"/>
    <col min="15091" max="15091" width="14.5" customWidth="1"/>
    <col min="15092" max="15093" width="10" customWidth="1"/>
    <col min="15094" max="15094" width="11.875" customWidth="1"/>
    <col min="15328" max="15328" width="12.625" customWidth="1"/>
    <col min="15329" max="15329" width="19.75" customWidth="1"/>
    <col min="15330" max="15330" width="9.25" customWidth="1"/>
    <col min="15331" max="15331" width="9.625" customWidth="1"/>
    <col min="15332" max="15333" width="10.875" bestFit="1" customWidth="1"/>
    <col min="15334" max="15334" width="12" customWidth="1"/>
    <col min="15335" max="15335" width="12" bestFit="1" customWidth="1"/>
    <col min="15336" max="15336" width="12.125" customWidth="1"/>
    <col min="15337" max="15337" width="12" bestFit="1" customWidth="1"/>
    <col min="15338" max="15338" width="13.375" customWidth="1"/>
    <col min="15339" max="15339" width="12" customWidth="1"/>
    <col min="15340" max="15340" width="10.875" customWidth="1"/>
    <col min="15341" max="15341" width="10.75" customWidth="1"/>
    <col min="15342" max="15342" width="11.75" customWidth="1"/>
    <col min="15343" max="15343" width="12.625" customWidth="1"/>
    <col min="15344" max="15344" width="15.375" customWidth="1"/>
    <col min="15345" max="15345" width="16.125" customWidth="1"/>
    <col min="15346" max="15346" width="18" customWidth="1"/>
    <col min="15347" max="15347" width="14.5" customWidth="1"/>
    <col min="15348" max="15349" width="10" customWidth="1"/>
    <col min="15350" max="15350" width="11.875" customWidth="1"/>
    <col min="15584" max="15584" width="12.625" customWidth="1"/>
    <col min="15585" max="15585" width="19.75" customWidth="1"/>
    <col min="15586" max="15586" width="9.25" customWidth="1"/>
    <col min="15587" max="15587" width="9.625" customWidth="1"/>
    <col min="15588" max="15589" width="10.875" bestFit="1" customWidth="1"/>
    <col min="15590" max="15590" width="12" customWidth="1"/>
    <col min="15591" max="15591" width="12" bestFit="1" customWidth="1"/>
    <col min="15592" max="15592" width="12.125" customWidth="1"/>
    <col min="15593" max="15593" width="12" bestFit="1" customWidth="1"/>
    <col min="15594" max="15594" width="13.375" customWidth="1"/>
    <col min="15595" max="15595" width="12" customWidth="1"/>
    <col min="15596" max="15596" width="10.875" customWidth="1"/>
    <col min="15597" max="15597" width="10.75" customWidth="1"/>
    <col min="15598" max="15598" width="11.75" customWidth="1"/>
    <col min="15599" max="15599" width="12.625" customWidth="1"/>
    <col min="15600" max="15600" width="15.375" customWidth="1"/>
    <col min="15601" max="15601" width="16.125" customWidth="1"/>
    <col min="15602" max="15602" width="18" customWidth="1"/>
    <col min="15603" max="15603" width="14.5" customWidth="1"/>
    <col min="15604" max="15605" width="10" customWidth="1"/>
    <col min="15606" max="15606" width="11.875" customWidth="1"/>
    <col min="15840" max="15840" width="12.625" customWidth="1"/>
    <col min="15841" max="15841" width="19.75" customWidth="1"/>
    <col min="15842" max="15842" width="9.25" customWidth="1"/>
    <col min="15843" max="15843" width="9.625" customWidth="1"/>
    <col min="15844" max="15845" width="10.875" bestFit="1" customWidth="1"/>
    <col min="15846" max="15846" width="12" customWidth="1"/>
    <col min="15847" max="15847" width="12" bestFit="1" customWidth="1"/>
    <col min="15848" max="15848" width="12.125" customWidth="1"/>
    <col min="15849" max="15849" width="12" bestFit="1" customWidth="1"/>
    <col min="15850" max="15850" width="13.375" customWidth="1"/>
    <col min="15851" max="15851" width="12" customWidth="1"/>
    <col min="15852" max="15852" width="10.875" customWidth="1"/>
    <col min="15853" max="15853" width="10.75" customWidth="1"/>
    <col min="15854" max="15854" width="11.75" customWidth="1"/>
    <col min="15855" max="15855" width="12.625" customWidth="1"/>
    <col min="15856" max="15856" width="15.375" customWidth="1"/>
    <col min="15857" max="15857" width="16.125" customWidth="1"/>
    <col min="15858" max="15858" width="18" customWidth="1"/>
    <col min="15859" max="15859" width="14.5" customWidth="1"/>
    <col min="15860" max="15861" width="10" customWidth="1"/>
    <col min="15862" max="15862" width="11.875" customWidth="1"/>
    <col min="16096" max="16096" width="12.625" customWidth="1"/>
    <col min="16097" max="16097" width="19.75" customWidth="1"/>
    <col min="16098" max="16098" width="9.25" customWidth="1"/>
    <col min="16099" max="16099" width="9.625" customWidth="1"/>
    <col min="16100" max="16101" width="10.875" bestFit="1" customWidth="1"/>
    <col min="16102" max="16102" width="12" customWidth="1"/>
    <col min="16103" max="16103" width="12" bestFit="1" customWidth="1"/>
    <col min="16104" max="16104" width="12.125" customWidth="1"/>
    <col min="16105" max="16105" width="12" bestFit="1" customWidth="1"/>
    <col min="16106" max="16106" width="13.375" customWidth="1"/>
    <col min="16107" max="16107" width="12" customWidth="1"/>
    <col min="16108" max="16108" width="10.875" customWidth="1"/>
    <col min="16109" max="16109" width="10.75" customWidth="1"/>
    <col min="16110" max="16110" width="11.75" customWidth="1"/>
    <col min="16111" max="16111" width="12.625" customWidth="1"/>
    <col min="16112" max="16112" width="15.375" customWidth="1"/>
    <col min="16113" max="16113" width="16.125" customWidth="1"/>
    <col min="16114" max="16114" width="18" customWidth="1"/>
    <col min="16115" max="16115" width="14.5" customWidth="1"/>
    <col min="16116" max="16117" width="10" customWidth="1"/>
    <col min="16118" max="16118" width="11.875" customWidth="1"/>
  </cols>
  <sheetData>
    <row r="1" spans="1:22">
      <c r="A1" s="919" t="s">
        <v>39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919"/>
      <c r="O1" s="919"/>
      <c r="P1" s="919"/>
      <c r="Q1" s="116"/>
    </row>
    <row r="2" spans="1:22" ht="18">
      <c r="A2" s="881" t="s">
        <v>40</v>
      </c>
      <c r="B2" s="881"/>
      <c r="C2" s="881"/>
      <c r="D2" s="881"/>
      <c r="E2" s="881"/>
      <c r="F2" s="881"/>
      <c r="G2" s="881"/>
      <c r="H2" s="881"/>
      <c r="I2" s="881"/>
      <c r="J2" s="881"/>
      <c r="K2" s="881"/>
      <c r="L2" s="881"/>
      <c r="M2" s="881"/>
      <c r="N2" s="881"/>
      <c r="O2" s="881"/>
      <c r="P2" s="881"/>
      <c r="Q2" s="44"/>
    </row>
    <row r="3" spans="1:22">
      <c r="A3" s="65"/>
      <c r="B3" s="74"/>
      <c r="C3" s="74"/>
    </row>
    <row r="4" spans="1:22">
      <c r="A4" s="920" t="s">
        <v>182</v>
      </c>
      <c r="B4" s="920"/>
      <c r="C4" s="920"/>
      <c r="D4" s="920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119"/>
    </row>
    <row r="5" spans="1:22">
      <c r="A5" s="920" t="s">
        <v>208</v>
      </c>
      <c r="B5" s="920"/>
      <c r="C5" s="920"/>
      <c r="D5" s="920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192"/>
    </row>
    <row r="6" spans="1:22">
      <c r="A6" s="920" t="s">
        <v>209</v>
      </c>
      <c r="B6" s="920"/>
      <c r="C6" s="920"/>
      <c r="D6" s="920"/>
      <c r="E6" s="920"/>
      <c r="F6" s="920"/>
      <c r="G6" s="920"/>
      <c r="H6" s="920"/>
      <c r="I6" s="920"/>
      <c r="J6" s="920"/>
      <c r="K6" s="920"/>
      <c r="L6" s="920"/>
      <c r="M6" s="920"/>
      <c r="N6" s="920"/>
      <c r="O6" s="920"/>
      <c r="P6" s="920"/>
      <c r="Q6" s="193"/>
    </row>
    <row r="7" spans="1:22" ht="16.5" thickBot="1">
      <c r="A7" s="194"/>
      <c r="B7" s="74"/>
      <c r="C7" s="74"/>
      <c r="D7" s="195">
        <v>1</v>
      </c>
      <c r="E7" s="195">
        <v>2</v>
      </c>
      <c r="F7" s="196">
        <v>3</v>
      </c>
      <c r="G7" s="197">
        <v>4</v>
      </c>
      <c r="H7" s="195">
        <v>5</v>
      </c>
      <c r="I7" s="197">
        <v>6</v>
      </c>
      <c r="J7" s="195">
        <v>7</v>
      </c>
      <c r="K7" s="197">
        <v>8</v>
      </c>
      <c r="L7" s="195">
        <v>9</v>
      </c>
      <c r="M7" s="197">
        <v>10</v>
      </c>
      <c r="N7" s="195">
        <v>11</v>
      </c>
      <c r="O7" s="197">
        <v>12</v>
      </c>
      <c r="P7" s="198"/>
      <c r="Q7" s="74"/>
    </row>
    <row r="8" spans="1:22" s="43" customFormat="1" ht="42" customHeight="1" thickTop="1">
      <c r="A8" s="918" t="s">
        <v>116</v>
      </c>
      <c r="B8" s="918"/>
      <c r="C8" s="615" t="s">
        <v>462</v>
      </c>
      <c r="D8" s="122" t="s">
        <v>117</v>
      </c>
      <c r="E8" s="122" t="s">
        <v>118</v>
      </c>
      <c r="F8" s="122" t="s">
        <v>119</v>
      </c>
      <c r="G8" s="122" t="s">
        <v>120</v>
      </c>
      <c r="H8" s="122" t="s">
        <v>121</v>
      </c>
      <c r="I8" s="122" t="s">
        <v>122</v>
      </c>
      <c r="J8" s="122" t="s">
        <v>123</v>
      </c>
      <c r="K8" s="122" t="s">
        <v>124</v>
      </c>
      <c r="L8" s="122" t="s">
        <v>125</v>
      </c>
      <c r="M8" s="122" t="s">
        <v>126</v>
      </c>
      <c r="N8" s="122" t="s">
        <v>127</v>
      </c>
      <c r="O8" s="122" t="s">
        <v>128</v>
      </c>
      <c r="P8" s="124" t="s">
        <v>510</v>
      </c>
      <c r="Q8" s="199" t="s">
        <v>210</v>
      </c>
    </row>
    <row r="9" spans="1:22" ht="31.5" customHeight="1">
      <c r="A9" s="200" t="s">
        <v>130</v>
      </c>
      <c r="B9" s="201" t="s">
        <v>131</v>
      </c>
      <c r="C9" s="201">
        <v>155.22</v>
      </c>
      <c r="D9" s="202">
        <f>+'Producción MG'!C9/31</f>
        <v>147.37409677419353</v>
      </c>
      <c r="E9" s="202">
        <f>+'Producción MG'!D9/28</f>
        <v>145.39978571428571</v>
      </c>
      <c r="F9" s="202">
        <f>+'Producción MG'!E9/31</f>
        <v>143.30929032258064</v>
      </c>
      <c r="G9" s="202">
        <f>+'Producción MG'!F9/30</f>
        <v>141.13923333333332</v>
      </c>
      <c r="H9" s="852">
        <f>+'Producción MG'!G9/31</f>
        <v>144.12235483870967</v>
      </c>
      <c r="I9" s="202">
        <f>+'Producción MG'!H9/30</f>
        <v>148.4744</v>
      </c>
      <c r="J9" s="710">
        <f>+'Producción MG'!I9/31</f>
        <v>0</v>
      </c>
      <c r="K9" s="202">
        <f>+'Producción MG'!J9/31</f>
        <v>0</v>
      </c>
      <c r="L9" s="202">
        <f>+'Producción MG'!K9/30</f>
        <v>0</v>
      </c>
      <c r="M9" s="202">
        <f>+'Producción MG'!L9/31</f>
        <v>0</v>
      </c>
      <c r="N9" s="202">
        <f>+'Producción MG'!M9/30</f>
        <v>0</v>
      </c>
      <c r="O9" s="202">
        <f>+'Producción MG'!N9/31</f>
        <v>0</v>
      </c>
      <c r="P9" s="203">
        <f>AVERAGE(D9:O9)</f>
        <v>72.484930081925242</v>
      </c>
      <c r="Q9" s="204">
        <f>+O9/22.827</f>
        <v>0</v>
      </c>
    </row>
    <row r="10" spans="1:22" ht="12.75" customHeight="1">
      <c r="A10" s="913" t="s">
        <v>132</v>
      </c>
      <c r="B10" s="73" t="s">
        <v>133</v>
      </c>
      <c r="C10" s="73">
        <v>18.260000000000002</v>
      </c>
      <c r="D10" s="322">
        <f>+'Producción MG'!C10/31</f>
        <v>12.103225806451613</v>
      </c>
      <c r="E10" s="322">
        <f>+'Producción MG'!D10/28</f>
        <v>11.972857142857142</v>
      </c>
      <c r="F10" s="322">
        <f>+'Producción MG'!E10/31</f>
        <v>11.318709677419355</v>
      </c>
      <c r="G10" s="322">
        <f>+'Producción MG'!F10/30</f>
        <v>10.948</v>
      </c>
      <c r="H10" s="323">
        <f>+'Producción MG'!G10/31</f>
        <v>10.607548387096774</v>
      </c>
      <c r="I10" s="322">
        <f>+'Producción MG'!H10/30</f>
        <v>11.638</v>
      </c>
      <c r="J10" s="711">
        <f>+'Producción MG'!I10/31</f>
        <v>0</v>
      </c>
      <c r="K10" s="322">
        <f>+'Producción MG'!J10/31</f>
        <v>0</v>
      </c>
      <c r="L10" s="322">
        <f>+'Producción MG'!K10/30</f>
        <v>0</v>
      </c>
      <c r="M10" s="322">
        <f>+'Producción MG'!L10/31</f>
        <v>0</v>
      </c>
      <c r="N10" s="322">
        <f>+'Producción MG'!M10/30</f>
        <v>0</v>
      </c>
      <c r="O10" s="322">
        <f>+'Producción MG'!N10/31</f>
        <v>0</v>
      </c>
      <c r="P10" s="206">
        <f t="shared" ref="P10:P40" si="0">AVERAGE(D10:O10)</f>
        <v>5.7156950844854073</v>
      </c>
      <c r="Q10" s="204"/>
    </row>
    <row r="11" spans="1:22" ht="16.5" customHeight="1">
      <c r="A11" s="913"/>
      <c r="B11" s="73" t="s">
        <v>134</v>
      </c>
      <c r="C11" s="73">
        <v>27.39</v>
      </c>
      <c r="D11" s="322">
        <f>+'Producción MG'!C11/31</f>
        <v>22.489548387096775</v>
      </c>
      <c r="E11" s="322">
        <f>+'Producción MG'!D11/28</f>
        <v>21.910035714285716</v>
      </c>
      <c r="F11" s="322">
        <f>+'Producción MG'!E11/31</f>
        <v>17.071774193548389</v>
      </c>
      <c r="G11" s="322">
        <f>+'Producción MG'!F11/30</f>
        <v>20.841433333333335</v>
      </c>
      <c r="H11" s="323">
        <f>+'Producción MG'!G11/31</f>
        <v>19.973870967741938</v>
      </c>
      <c r="I11" s="322">
        <f>+'Producción MG'!H11/30</f>
        <v>21.558833333333332</v>
      </c>
      <c r="J11" s="711">
        <f>+'Producción MG'!I11/31</f>
        <v>0</v>
      </c>
      <c r="K11" s="322">
        <f>+'Producción MG'!J11/31</f>
        <v>0</v>
      </c>
      <c r="L11" s="322">
        <f>+'Producción MG'!K11/30</f>
        <v>0</v>
      </c>
      <c r="M11" s="322">
        <f>+'Producción MG'!L11/31</f>
        <v>0</v>
      </c>
      <c r="N11" s="322">
        <f>+'Producción MG'!M11/30</f>
        <v>0</v>
      </c>
      <c r="O11" s="322">
        <f>+'Producción MG'!N11/31</f>
        <v>0</v>
      </c>
      <c r="P11" s="206">
        <f t="shared" si="0"/>
        <v>10.320457994111623</v>
      </c>
      <c r="Q11" s="204">
        <f>+P11/22.827</f>
        <v>0.45211626556760071</v>
      </c>
    </row>
    <row r="12" spans="1:22" ht="16.5" customHeight="1">
      <c r="A12" s="913"/>
      <c r="B12" s="207" t="s">
        <v>135</v>
      </c>
      <c r="C12" s="207"/>
      <c r="D12" s="208">
        <f>SUM(D9:D11)</f>
        <v>181.9668709677419</v>
      </c>
      <c r="E12" s="208">
        <f>SUM(E9:E11)</f>
        <v>179.28267857142859</v>
      </c>
      <c r="F12" s="208">
        <f>SUM(F9:F11)</f>
        <v>171.69977419354836</v>
      </c>
      <c r="G12" s="209">
        <f t="shared" ref="G12:O12" si="1">SUM(G9:G11)</f>
        <v>172.92866666666666</v>
      </c>
      <c r="H12" s="209">
        <f>SUM(H9:H11)</f>
        <v>174.70377419354838</v>
      </c>
      <c r="I12" s="209">
        <f t="shared" si="1"/>
        <v>181.67123333333333</v>
      </c>
      <c r="J12" s="712">
        <f t="shared" si="1"/>
        <v>0</v>
      </c>
      <c r="K12" s="208">
        <f t="shared" si="1"/>
        <v>0</v>
      </c>
      <c r="L12" s="209">
        <f t="shared" si="1"/>
        <v>0</v>
      </c>
      <c r="M12" s="209">
        <f t="shared" si="1"/>
        <v>0</v>
      </c>
      <c r="N12" s="209">
        <f t="shared" si="1"/>
        <v>0</v>
      </c>
      <c r="O12" s="208">
        <f t="shared" si="1"/>
        <v>0</v>
      </c>
      <c r="P12" s="206">
        <f t="shared" si="0"/>
        <v>88.521083160522267</v>
      </c>
      <c r="Q12" s="204"/>
      <c r="V12" s="52">
        <f>SUM(G13:G15)</f>
        <v>24.417533333333331</v>
      </c>
    </row>
    <row r="13" spans="1:22">
      <c r="A13" s="913"/>
      <c r="B13" s="73" t="s">
        <v>136</v>
      </c>
      <c r="C13" s="73">
        <v>11.5</v>
      </c>
      <c r="D13" s="322">
        <f>+'Producción MG'!C13/31</f>
        <v>7.4452580645161293</v>
      </c>
      <c r="E13" s="322">
        <f>+'Producción MG'!D13/28</f>
        <v>7.5556428571428569</v>
      </c>
      <c r="F13" s="322">
        <f>+'Producción MG'!E13/31</f>
        <v>7.0884516129032251</v>
      </c>
      <c r="G13" s="322">
        <f>+'Producción MG'!F13/30</f>
        <v>7.3819333333333335</v>
      </c>
      <c r="H13" s="323">
        <f>+'Producción MG'!G13/31</f>
        <v>7.5976129032258068</v>
      </c>
      <c r="I13" s="322">
        <f>+'Producción MG'!H13/30</f>
        <v>7.9811333333333332</v>
      </c>
      <c r="J13" s="711">
        <f>+'Producción MG'!I13/31</f>
        <v>0</v>
      </c>
      <c r="K13" s="322">
        <f>+'Producción MG'!J13/31</f>
        <v>0</v>
      </c>
      <c r="L13" s="322">
        <f>+'Producción MG'!K13/30</f>
        <v>0</v>
      </c>
      <c r="M13" s="322">
        <f>+'Producción MG'!L13/31</f>
        <v>0</v>
      </c>
      <c r="N13" s="322">
        <f>+'Producción MG'!M13/30</f>
        <v>0</v>
      </c>
      <c r="O13" s="322">
        <f>+'Producción MG'!N13/31</f>
        <v>0</v>
      </c>
      <c r="P13" s="206">
        <f t="shared" si="0"/>
        <v>3.7541693420378901</v>
      </c>
      <c r="Q13" s="204"/>
    </row>
    <row r="14" spans="1:22">
      <c r="A14" s="913"/>
      <c r="B14" s="843" t="s">
        <v>138</v>
      </c>
      <c r="C14" s="843">
        <v>21.74</v>
      </c>
      <c r="D14" s="844">
        <f>+'Producción MG'!C14/31</f>
        <v>8.7026129032258073</v>
      </c>
      <c r="E14" s="844">
        <f>+'Producción MG'!D14/28</f>
        <v>8.8858928571428581</v>
      </c>
      <c r="F14" s="844">
        <f>+'Producción MG'!E14/31</f>
        <v>9.1014193548387095</v>
      </c>
      <c r="G14" s="844">
        <f>+'Producción MG'!F14/30</f>
        <v>8.8279999999999994</v>
      </c>
      <c r="H14" s="845">
        <f>+'Producción MG'!G14/31</f>
        <v>8.9856774193548379</v>
      </c>
      <c r="I14" s="865">
        <f>+'Producción MG'!H14/30</f>
        <v>9.0839999999999996</v>
      </c>
      <c r="J14" s="846">
        <v>0</v>
      </c>
      <c r="K14" s="845">
        <v>0</v>
      </c>
      <c r="L14" s="845">
        <v>0</v>
      </c>
      <c r="M14" s="845">
        <v>0</v>
      </c>
      <c r="N14" s="845">
        <v>0</v>
      </c>
      <c r="O14" s="844">
        <v>0</v>
      </c>
      <c r="P14" s="206">
        <v>4.3080663402457757</v>
      </c>
      <c r="Q14" s="204">
        <f>SUM(D14:O14)</f>
        <v>53.587602534562208</v>
      </c>
    </row>
    <row r="15" spans="1:22">
      <c r="A15" s="913"/>
      <c r="B15" s="843" t="s">
        <v>137</v>
      </c>
      <c r="C15" s="843"/>
      <c r="D15" s="844">
        <f>+'Producción MG'!C15/31</f>
        <v>8.2939999999999987</v>
      </c>
      <c r="E15" s="844">
        <f>+'Producción MG'!D15/28</f>
        <v>8.2940000000000005</v>
      </c>
      <c r="F15" s="844">
        <f>+'Producción MG'!E15/31</f>
        <v>8.2939999999999987</v>
      </c>
      <c r="G15" s="844">
        <f>+'Producción MG'!F15/30</f>
        <v>8.2076000000000011</v>
      </c>
      <c r="H15" s="845">
        <f>+'Producción MG'!G15/31</f>
        <v>8.2934838709677425</v>
      </c>
      <c r="I15" s="844">
        <f>+'Producción MG'!H15/30</f>
        <v>8.2940000000000005</v>
      </c>
      <c r="J15" s="846">
        <v>0</v>
      </c>
      <c r="K15" s="845">
        <v>0</v>
      </c>
      <c r="L15" s="845">
        <v>0</v>
      </c>
      <c r="M15" s="845">
        <v>0</v>
      </c>
      <c r="N15" s="845">
        <v>0</v>
      </c>
      <c r="O15" s="844">
        <v>0</v>
      </c>
      <c r="P15" s="206">
        <v>4.2973241935483868</v>
      </c>
      <c r="Q15" s="204">
        <f>SUM(D15:O15)</f>
        <v>49.677083870967735</v>
      </c>
      <c r="V15" s="689">
        <f>V12+G20</f>
        <v>28.105199999999996</v>
      </c>
    </row>
    <row r="16" spans="1:22">
      <c r="A16" s="913"/>
      <c r="B16" s="848" t="s">
        <v>185</v>
      </c>
      <c r="C16" s="73"/>
      <c r="D16" s="322">
        <f>+'Producción MG'!C16/31</f>
        <v>0</v>
      </c>
      <c r="E16" s="322">
        <f>+'Producción MG'!D16/28</f>
        <v>0</v>
      </c>
      <c r="F16" s="322">
        <f>+'Producción MG'!E16/31</f>
        <v>0</v>
      </c>
      <c r="G16" s="322">
        <f>+'Producción MG'!F16/30</f>
        <v>0</v>
      </c>
      <c r="H16" s="323">
        <f>+'Producción MG'!G16/31</f>
        <v>0</v>
      </c>
      <c r="I16" s="322">
        <f>+'Producción MG'!H16/30</f>
        <v>0</v>
      </c>
      <c r="J16" s="711">
        <v>0</v>
      </c>
      <c r="K16" s="323">
        <v>0</v>
      </c>
      <c r="L16" s="323">
        <v>0</v>
      </c>
      <c r="M16" s="323">
        <v>0</v>
      </c>
      <c r="N16" s="323">
        <v>0</v>
      </c>
      <c r="O16" s="322">
        <v>0</v>
      </c>
      <c r="P16" s="206">
        <v>4.2973241935483868</v>
      </c>
      <c r="Q16" s="204"/>
    </row>
    <row r="17" spans="1:22" s="142" customFormat="1" ht="19.5" customHeight="1">
      <c r="A17" s="139"/>
      <c r="B17" s="140" t="s">
        <v>139</v>
      </c>
      <c r="C17" s="140">
        <f>SUM(C10:C16)</f>
        <v>78.89</v>
      </c>
      <c r="D17" s="211">
        <f>SUM(D13:D16)+SUM(D10:D11)</f>
        <v>59.034645161290321</v>
      </c>
      <c r="E17" s="211">
        <f>SUM(E13:E16)+SUM(E10:E11)</f>
        <v>58.618428571428566</v>
      </c>
      <c r="F17" s="211">
        <f>SUM(F13:F16)+SUM(F10:F11)</f>
        <v>52.874354838709678</v>
      </c>
      <c r="G17" s="211">
        <f t="shared" ref="G17:L17" si="2">SUM(G13:G16)+SUM(G10:G11)</f>
        <v>56.206966666666666</v>
      </c>
      <c r="H17" s="211">
        <f t="shared" si="2"/>
        <v>55.458193548387101</v>
      </c>
      <c r="I17" s="211">
        <f t="shared" si="2"/>
        <v>58.555966666666663</v>
      </c>
      <c r="J17" s="713">
        <f t="shared" si="2"/>
        <v>0</v>
      </c>
      <c r="K17" s="211">
        <f t="shared" si="2"/>
        <v>0</v>
      </c>
      <c r="L17" s="211">
        <f t="shared" si="2"/>
        <v>0</v>
      </c>
      <c r="M17" s="211">
        <f>SUM(M13:M16)+SUM(M10:M11)</f>
        <v>0</v>
      </c>
      <c r="N17" s="212">
        <f>SUM(N13:N16)+SUM(N10:N11)</f>
        <v>0</v>
      </c>
      <c r="O17" s="212">
        <f>SUM(O13:O16)+SUM(O10:O11)</f>
        <v>0</v>
      </c>
      <c r="P17" s="213">
        <f>AVERAGE(D17:O17)</f>
        <v>28.395712954429086</v>
      </c>
      <c r="Q17" s="204"/>
    </row>
    <row r="18" spans="1:22" s="221" customFormat="1" ht="19.5" customHeight="1">
      <c r="A18" s="215"/>
      <c r="B18" s="216" t="s">
        <v>214</v>
      </c>
      <c r="C18" s="216"/>
      <c r="D18" s="217">
        <f>D17+F138</f>
        <v>125.35298870967742</v>
      </c>
      <c r="E18" s="217">
        <f>E17+F139</f>
        <v>124.04833214285713</v>
      </c>
      <c r="F18" s="217">
        <f>F17+F140</f>
        <v>117.36353548387096</v>
      </c>
      <c r="G18" s="217">
        <f>G17+F141</f>
        <v>119.71962166666665</v>
      </c>
      <c r="H18" s="217">
        <f>H17+F142</f>
        <v>120.31325322580645</v>
      </c>
      <c r="I18" s="217">
        <f>I17+F143</f>
        <v>125.36944666666666</v>
      </c>
      <c r="J18" s="714">
        <f>J17+F144</f>
        <v>0</v>
      </c>
      <c r="K18" s="217">
        <f>K17+F145</f>
        <v>0</v>
      </c>
      <c r="L18" s="217">
        <f>L17+F146</f>
        <v>0</v>
      </c>
      <c r="M18" s="217">
        <f>M17+F147</f>
        <v>0</v>
      </c>
      <c r="N18" s="218">
        <f>N17+F148</f>
        <v>0</v>
      </c>
      <c r="O18" s="218">
        <f>O17+F149</f>
        <v>0</v>
      </c>
      <c r="P18" s="219">
        <f>AVERAGE(D18:O18)</f>
        <v>61.013931491295438</v>
      </c>
      <c r="Q18" s="220"/>
    </row>
    <row r="19" spans="1:22" ht="12.75" customHeight="1">
      <c r="A19" s="913" t="s">
        <v>186</v>
      </c>
      <c r="B19" s="73" t="s">
        <v>140</v>
      </c>
      <c r="C19" s="73">
        <v>91</v>
      </c>
      <c r="D19" s="322">
        <f>+'Producción MG'!C18/31</f>
        <v>43.32322580645161</v>
      </c>
      <c r="E19" s="322">
        <f>+'Producción MG'!D18/28</f>
        <v>43.58210714285714</v>
      </c>
      <c r="F19" s="322">
        <f>+'Producción MG'!E18/31</f>
        <v>38.36774193548387</v>
      </c>
      <c r="G19" s="322">
        <f>+'Producción MG'!F18/30</f>
        <v>38.676366666666667</v>
      </c>
      <c r="H19" s="323">
        <f>+'Producción MG'!G18/31</f>
        <v>35.558741935483866</v>
      </c>
      <c r="I19" s="322">
        <f>+'Producción MG'!H18/30</f>
        <v>39.566600000000001</v>
      </c>
      <c r="J19" s="711">
        <f>+'Producción MG'!I18/31</f>
        <v>0</v>
      </c>
      <c r="K19" s="322">
        <f>+'Producción MG'!J18/31</f>
        <v>0</v>
      </c>
      <c r="L19" s="322">
        <f>+'Producción MG'!K18/30</f>
        <v>0</v>
      </c>
      <c r="M19" s="322">
        <f>+'Producción MG'!L18/31</f>
        <v>0</v>
      </c>
      <c r="N19" s="322">
        <f>+'Producción MG'!M18/30</f>
        <v>0</v>
      </c>
      <c r="O19" s="322">
        <f>+'Producción MG'!N18/31</f>
        <v>0</v>
      </c>
      <c r="P19" s="206">
        <f>AVERAGE(D19:O19)</f>
        <v>19.92289862391193</v>
      </c>
      <c r="Q19" s="204">
        <f>SUM(D20:O21)</f>
        <v>21.602580645161289</v>
      </c>
    </row>
    <row r="20" spans="1:22" ht="36.75" customHeight="1">
      <c r="A20" s="913"/>
      <c r="B20" s="847" t="s">
        <v>141</v>
      </c>
      <c r="C20" s="847">
        <v>5.33</v>
      </c>
      <c r="D20" s="844">
        <f>+'Producción MG'!C19/31</f>
        <v>3.5975806451612904</v>
      </c>
      <c r="E20" s="844">
        <f>+'Producción MG'!D19/28</f>
        <v>3.59</v>
      </c>
      <c r="F20" s="844">
        <f>+'Producción MG'!E19/31</f>
        <v>3.6787096774193548</v>
      </c>
      <c r="G20" s="844">
        <f>+'Producción MG'!F19/30</f>
        <v>3.6876666666666664</v>
      </c>
      <c r="H20" s="845">
        <f>+'Producción MG'!G19/31</f>
        <v>3.5612903225806454</v>
      </c>
      <c r="I20" s="844">
        <f>+'Producción MG'!H19/30</f>
        <v>3.4873333333333334</v>
      </c>
      <c r="J20" s="846">
        <f>+'Producción MG'!I19/31</f>
        <v>0</v>
      </c>
      <c r="K20" s="844">
        <f>+'Producción MG'!J19/31</f>
        <v>0</v>
      </c>
      <c r="L20" s="844">
        <f>+'Producción MG'!K19/30</f>
        <v>0</v>
      </c>
      <c r="M20" s="844">
        <f>+'Producción MG'!L19/31</f>
        <v>0</v>
      </c>
      <c r="N20" s="844">
        <f>+'Producción MG'!M19/30</f>
        <v>0</v>
      </c>
      <c r="O20" s="844">
        <f>+'Producción MG'!N19/31</f>
        <v>0</v>
      </c>
      <c r="P20" s="206">
        <f t="shared" si="0"/>
        <v>1.8002150537634407</v>
      </c>
      <c r="U20" s="52">
        <f>SUM(F13:F15)</f>
        <v>24.483870967741936</v>
      </c>
      <c r="V20" s="689">
        <f>U20+F20+F29</f>
        <v>30.429645161290324</v>
      </c>
    </row>
    <row r="21" spans="1:22">
      <c r="A21" s="913"/>
      <c r="B21" s="848" t="s">
        <v>142</v>
      </c>
      <c r="C21" s="848"/>
      <c r="D21" s="322">
        <f>+'Producción MG'!C20/31</f>
        <v>0</v>
      </c>
      <c r="E21" s="739">
        <f>'Producción MG'!D20/28</f>
        <v>0</v>
      </c>
      <c r="F21" s="739">
        <f>'Producción MG'!E20/31</f>
        <v>0</v>
      </c>
      <c r="G21" s="739">
        <f>'Producción MG'!F20/30</f>
        <v>0</v>
      </c>
      <c r="H21" s="853">
        <f>'Producción MG'!G20/31</f>
        <v>0</v>
      </c>
      <c r="I21" s="322">
        <f>+'Producción MG'!H20/30</f>
        <v>0</v>
      </c>
      <c r="J21" s="849">
        <f>'Producción MG'!I20/31</f>
        <v>0</v>
      </c>
      <c r="K21" s="739">
        <f>'Producción MG'!J20/31</f>
        <v>0</v>
      </c>
      <c r="L21" s="739">
        <f>'Producción MG'!K20/30</f>
        <v>0</v>
      </c>
      <c r="M21" s="739">
        <f>'Producción MG'!L20/31</f>
        <v>0</v>
      </c>
      <c r="N21" s="739">
        <f>'Producción MG'!M20/30</f>
        <v>0</v>
      </c>
      <c r="O21" s="739">
        <f>'Producción MG'!N20/31</f>
        <v>0</v>
      </c>
      <c r="P21" s="206">
        <f t="shared" si="0"/>
        <v>0</v>
      </c>
      <c r="Q21" s="204">
        <f>SUM(D21:N21)</f>
        <v>0</v>
      </c>
    </row>
    <row r="22" spans="1:22">
      <c r="A22" s="150"/>
      <c r="B22" s="843" t="s">
        <v>143</v>
      </c>
      <c r="C22" s="843">
        <v>9.8000000000000007</v>
      </c>
      <c r="D22" s="844">
        <f>+'Producción MG'!C21/31</f>
        <v>9.5854838709677406</v>
      </c>
      <c r="E22" s="844">
        <f>+'Producción MG'!D21/28</f>
        <v>9.85</v>
      </c>
      <c r="F22" s="844">
        <f>+'Producción MG'!E21/31</f>
        <v>9.9132258064516137</v>
      </c>
      <c r="G22" s="844">
        <f>+'Producción MG'!F21/30</f>
        <v>11.161666666666667</v>
      </c>
      <c r="H22" s="845">
        <f>+'Producción MG'!G21/31</f>
        <v>11.257096774193549</v>
      </c>
      <c r="I22" s="844">
        <f>+'Producción MG'!H21/30</f>
        <v>11.318999999999999</v>
      </c>
      <c r="J22" s="846">
        <f>+'Producción MG'!I21/31</f>
        <v>0</v>
      </c>
      <c r="K22" s="844">
        <f>+'Producción MG'!J21/31</f>
        <v>0</v>
      </c>
      <c r="L22" s="844">
        <f>+'Producción MG'!K21/30</f>
        <v>0</v>
      </c>
      <c r="M22" s="844">
        <f>+'Producción MG'!L21/31</f>
        <v>0</v>
      </c>
      <c r="N22" s="844">
        <f>+'Producción MG'!M21/30</f>
        <v>0</v>
      </c>
      <c r="O22" s="844">
        <f>+'Producción MG'!N21/31</f>
        <v>0</v>
      </c>
      <c r="P22" s="206">
        <f t="shared" si="0"/>
        <v>5.2572060931899642</v>
      </c>
      <c r="Q22" s="204">
        <f>SUM(D22:O22)</f>
        <v>63.086473118279571</v>
      </c>
    </row>
    <row r="23" spans="1:22" s="142" customFormat="1" ht="20.25" customHeight="1">
      <c r="A23" s="139"/>
      <c r="B23" s="140" t="s">
        <v>144</v>
      </c>
      <c r="C23" s="140">
        <f>SUM(C19:C22)</f>
        <v>106.13</v>
      </c>
      <c r="D23" s="211">
        <f>SUM(D19:D22)</f>
        <v>56.506290322580647</v>
      </c>
      <c r="E23" s="211">
        <f>SUM(E19:E22)</f>
        <v>57.022107142857145</v>
      </c>
      <c r="F23" s="211">
        <f t="shared" ref="F23:O23" si="3">SUM(F19:F22)</f>
        <v>51.95967741935484</v>
      </c>
      <c r="G23" s="211">
        <f t="shared" si="3"/>
        <v>53.525700000000001</v>
      </c>
      <c r="H23" s="211">
        <f t="shared" si="3"/>
        <v>50.377129032258061</v>
      </c>
      <c r="I23" s="211">
        <f t="shared" si="3"/>
        <v>54.372933333333336</v>
      </c>
      <c r="J23" s="713">
        <f t="shared" si="3"/>
        <v>0</v>
      </c>
      <c r="K23" s="211">
        <f t="shared" si="3"/>
        <v>0</v>
      </c>
      <c r="L23" s="211">
        <f t="shared" si="3"/>
        <v>0</v>
      </c>
      <c r="M23" s="211">
        <f t="shared" si="3"/>
        <v>0</v>
      </c>
      <c r="N23" s="212">
        <f>SUM(N19:N22)</f>
        <v>0</v>
      </c>
      <c r="O23" s="212">
        <f t="shared" si="3"/>
        <v>0</v>
      </c>
      <c r="P23" s="151">
        <f t="shared" si="0"/>
        <v>26.980319770865336</v>
      </c>
      <c r="Q23" s="214"/>
    </row>
    <row r="24" spans="1:22" s="221" customFormat="1" ht="20.25" customHeight="1">
      <c r="A24" s="215"/>
      <c r="B24" s="216" t="s">
        <v>215</v>
      </c>
      <c r="C24" s="216"/>
      <c r="D24" s="217">
        <f>D23+G138</f>
        <v>136.08830258064515</v>
      </c>
      <c r="E24" s="217">
        <f>E23+G139</f>
        <v>135.53799142857144</v>
      </c>
      <c r="F24" s="217">
        <f>F23+G140</f>
        <v>129.34669419354839</v>
      </c>
      <c r="G24" s="217">
        <f>G23+G141</f>
        <v>129.74088599999999</v>
      </c>
      <c r="H24" s="217">
        <f>H23+G142</f>
        <v>128.20320064516127</v>
      </c>
      <c r="I24" s="217">
        <f>I23+G143</f>
        <v>134.54910933333335</v>
      </c>
      <c r="J24" s="714">
        <f>J23+G144</f>
        <v>0</v>
      </c>
      <c r="K24" s="217">
        <f>K23+G145</f>
        <v>0</v>
      </c>
      <c r="L24" s="217">
        <f>L23+G146</f>
        <v>0</v>
      </c>
      <c r="M24" s="217">
        <f>M23+G147</f>
        <v>0</v>
      </c>
      <c r="N24" s="217">
        <f>N23+G148</f>
        <v>0</v>
      </c>
      <c r="O24" s="217">
        <f>O23+G149</f>
        <v>0</v>
      </c>
      <c r="P24" s="223">
        <f>AVERAGE(D24:O24)</f>
        <v>66.122182015104968</v>
      </c>
      <c r="Q24" s="222"/>
    </row>
    <row r="25" spans="1:22" ht="18" customHeight="1">
      <c r="A25" s="913" t="s">
        <v>146</v>
      </c>
      <c r="B25" s="73" t="s">
        <v>596</v>
      </c>
      <c r="C25" s="73">
        <f>6.14</f>
        <v>6.14</v>
      </c>
      <c r="D25" s="322">
        <f>+'Producción MG'!C23/31</f>
        <v>2.1941935483870965</v>
      </c>
      <c r="E25" s="322">
        <f>+'Producción MG'!D23/28</f>
        <v>2.2306785714285717</v>
      </c>
      <c r="F25" s="322">
        <f>+'Producción MG'!E23/31</f>
        <v>4.2168064516129036</v>
      </c>
      <c r="G25" s="322">
        <f>+'Producción MG'!F23/30</f>
        <v>1.5662666666666667</v>
      </c>
      <c r="H25" s="323">
        <f>+'Producción MG'!G23/31</f>
        <v>1.8636129032258064</v>
      </c>
      <c r="I25" s="322">
        <f>+'Producción MG'!H23/30</f>
        <v>2.4960666666666667</v>
      </c>
      <c r="J25" s="711">
        <f>+'Producción MG'!I23/31</f>
        <v>0</v>
      </c>
      <c r="K25" s="322">
        <f>+'Producción MG'!J23/31</f>
        <v>0</v>
      </c>
      <c r="L25" s="322">
        <f>+'Producción MG'!K23/30</f>
        <v>0</v>
      </c>
      <c r="M25" s="322">
        <f>+'Producción MG'!L23/31</f>
        <v>0</v>
      </c>
      <c r="N25" s="322">
        <f>+'Producción MG'!M23/30</f>
        <v>0</v>
      </c>
      <c r="O25" s="322">
        <f>+'Producción MG'!N23/31</f>
        <v>0</v>
      </c>
      <c r="P25" s="206">
        <f>AVERAGE(D25:O25)</f>
        <v>1.213968733998976</v>
      </c>
      <c r="Q25" s="191">
        <f>+L25-K25</f>
        <v>0</v>
      </c>
    </row>
    <row r="26" spans="1:22" ht="12.75" customHeight="1">
      <c r="A26" s="913"/>
      <c r="B26" s="73" t="s">
        <v>597</v>
      </c>
      <c r="C26" s="73">
        <v>3.38</v>
      </c>
      <c r="D26" s="322">
        <f>+'Producción MG'!C24/31</f>
        <v>1.8868387096774193</v>
      </c>
      <c r="E26" s="322">
        <f>+'Producción MG'!D24/28</f>
        <v>1.7998571428571428</v>
      </c>
      <c r="F26" s="322">
        <f>+'Producción MG'!E24/31</f>
        <v>1.3666451612903225</v>
      </c>
      <c r="G26" s="322">
        <f>+'Producción MG'!F24/30</f>
        <v>1.8925333333333334</v>
      </c>
      <c r="H26" s="323">
        <f>+'Producción MG'!G24/31</f>
        <v>1.5800967741935483</v>
      </c>
      <c r="I26" s="322">
        <f>+'Producción MG'!H24/30</f>
        <v>1.3367</v>
      </c>
      <c r="J26" s="711">
        <f>+'Producción MG'!I24/31</f>
        <v>0</v>
      </c>
      <c r="K26" s="322">
        <f>+'Producción MG'!J24/31</f>
        <v>0</v>
      </c>
      <c r="L26" s="322">
        <f>+'Producción MG'!K24/30</f>
        <v>0</v>
      </c>
      <c r="M26" s="322">
        <f>+'Producción MG'!L24/31</f>
        <v>0</v>
      </c>
      <c r="N26" s="322">
        <f>+'Producción MG'!M24/30</f>
        <v>0</v>
      </c>
      <c r="O26" s="322">
        <f>+'Producción MG'!N24/31</f>
        <v>0</v>
      </c>
      <c r="P26" s="206"/>
      <c r="Q26" s="191"/>
    </row>
    <row r="27" spans="1:22" ht="16.5" customHeight="1">
      <c r="A27" s="913"/>
      <c r="B27" s="73" t="s">
        <v>147</v>
      </c>
      <c r="C27" s="73">
        <v>7.4219999999999997</v>
      </c>
      <c r="D27" s="322">
        <f>+'Producción MG'!C25/31</f>
        <v>5.8349677419354835</v>
      </c>
      <c r="E27" s="322">
        <f>+'Producción MG'!D25/28</f>
        <v>6.061464285714286</v>
      </c>
      <c r="F27" s="322">
        <f>+'Producción MG'!E25/31</f>
        <v>6.8354193548387094</v>
      </c>
      <c r="G27" s="322">
        <f>+'Producción MG'!F25/30</f>
        <v>6.3609333333333336</v>
      </c>
      <c r="H27" s="323">
        <f>+'Producción MG'!G25/31</f>
        <v>5.7461612903225809</v>
      </c>
      <c r="I27" s="322">
        <f>+'Producción MG'!H25/30</f>
        <v>6.2195</v>
      </c>
      <c r="J27" s="711">
        <f>+'Producción MG'!I25/31</f>
        <v>0</v>
      </c>
      <c r="K27" s="322">
        <f>+'Producción MG'!J25/31</f>
        <v>0</v>
      </c>
      <c r="L27" s="322">
        <f>+'Producción MG'!K25/30</f>
        <v>0</v>
      </c>
      <c r="M27" s="322">
        <f>+'Producción MG'!L25/31</f>
        <v>0</v>
      </c>
      <c r="N27" s="322">
        <f>+'Producción MG'!M25/30</f>
        <v>0</v>
      </c>
      <c r="O27" s="322">
        <f>+'Producción MG'!N25/31</f>
        <v>0</v>
      </c>
      <c r="P27" s="224">
        <f t="shared" si="0"/>
        <v>3.0882038338453661</v>
      </c>
      <c r="Q27" s="191"/>
    </row>
    <row r="28" spans="1:22" ht="16.5" customHeight="1">
      <c r="A28" s="913"/>
      <c r="B28" s="843" t="s">
        <v>148</v>
      </c>
      <c r="C28" s="843">
        <v>3.53</v>
      </c>
      <c r="D28" s="844">
        <f>+'Producción MG'!C26/31</f>
        <v>3.4140322580645157</v>
      </c>
      <c r="E28" s="844">
        <f>+'Producción MG'!D26/28</f>
        <v>4.3653571428571434</v>
      </c>
      <c r="F28" s="844">
        <f>+'Producción MG'!E26/31</f>
        <v>4.410387096774194</v>
      </c>
      <c r="G28" s="844">
        <f>+'Producción MG'!F26/30</f>
        <v>3.9314666666666667</v>
      </c>
      <c r="H28" s="845">
        <f>+'Producción MG'!G26/31</f>
        <v>3.750290322580645</v>
      </c>
      <c r="I28" s="844">
        <f>+'Producción MG'!H26/30</f>
        <v>4.2324999999999999</v>
      </c>
      <c r="J28" s="846">
        <f>+'Producción MG'!I26/31</f>
        <v>0</v>
      </c>
      <c r="K28" s="844">
        <f>+'Producción MG'!J26/31</f>
        <v>0</v>
      </c>
      <c r="L28" s="844">
        <f>+'Producción MG'!K26/30</f>
        <v>0</v>
      </c>
      <c r="M28" s="844">
        <f>+'Producción MG'!L26/31</f>
        <v>0</v>
      </c>
      <c r="N28" s="844">
        <f>+'Producción MG'!M26/30</f>
        <v>0</v>
      </c>
      <c r="O28" s="844">
        <f>+'Producción MG'!N26/31</f>
        <v>0</v>
      </c>
      <c r="P28" s="206">
        <f t="shared" si="0"/>
        <v>2.0086694572452637</v>
      </c>
      <c r="Q28" s="204">
        <f>SUM(D28:O28)</f>
        <v>24.104033486943166</v>
      </c>
    </row>
    <row r="29" spans="1:22" ht="16.5" customHeight="1">
      <c r="A29" s="913"/>
      <c r="B29" s="843" t="s">
        <v>149</v>
      </c>
      <c r="C29" s="843">
        <v>2.4500000000000002</v>
      </c>
      <c r="D29" s="844">
        <f>+'Producción MG'!C27/31</f>
        <v>2.0438709677419356</v>
      </c>
      <c r="E29" s="844">
        <f>+'Producción MG'!D27/28</f>
        <v>2.1993214285714289</v>
      </c>
      <c r="F29" s="844">
        <f>+'Producción MG'!E27/31</f>
        <v>2.2670645161290319</v>
      </c>
      <c r="G29" s="844">
        <f>+'Producción MG'!F27/30</f>
        <v>2.4094666666666669</v>
      </c>
      <c r="H29" s="845">
        <f>+'Producción MG'!G27/31</f>
        <v>2.3976774193548387</v>
      </c>
      <c r="I29" s="844">
        <f>+'Producción MG'!H27/30</f>
        <v>2.2648666666666668</v>
      </c>
      <c r="J29" s="846">
        <f>+'Producción MG'!I27/31</f>
        <v>0</v>
      </c>
      <c r="K29" s="844">
        <f>+'Producción MG'!J27/31</f>
        <v>0</v>
      </c>
      <c r="L29" s="844">
        <f>+'Producción MG'!K27/30</f>
        <v>0</v>
      </c>
      <c r="M29" s="844">
        <f>+'Producción MG'!L27/31</f>
        <v>0</v>
      </c>
      <c r="N29" s="844">
        <f>+'Producción MG'!M27/30</f>
        <v>0</v>
      </c>
      <c r="O29" s="844">
        <f>+'Producción MG'!N27/31</f>
        <v>0</v>
      </c>
      <c r="P29" s="224">
        <f t="shared" si="0"/>
        <v>1.1318556387608807</v>
      </c>
      <c r="Q29" s="204">
        <f>SUM(D29:O29)</f>
        <v>13.582267665130569</v>
      </c>
    </row>
    <row r="30" spans="1:22">
      <c r="A30" s="913"/>
      <c r="B30" s="843" t="s">
        <v>138</v>
      </c>
      <c r="C30" s="843">
        <v>41.44</v>
      </c>
      <c r="D30" s="844">
        <f>+'Producción MG'!C28/31</f>
        <v>43.707967741935484</v>
      </c>
      <c r="E30" s="844">
        <f>+'Producción MG'!D28/28</f>
        <v>44.291071428571435</v>
      </c>
      <c r="F30" s="844">
        <f>+'Producción MG'!E28/31</f>
        <v>44.969838709677418</v>
      </c>
      <c r="G30" s="844">
        <f>+'Producción MG'!F28/30</f>
        <v>44.254533333333335</v>
      </c>
      <c r="H30" s="845">
        <f>+'Producción MG'!G28/31</f>
        <v>42.951322580645162</v>
      </c>
      <c r="I30" s="844">
        <f>+'Producción MG'!H28/30</f>
        <v>41.226800000000004</v>
      </c>
      <c r="J30" s="846">
        <f>+'Producción MG'!I28/31</f>
        <v>0</v>
      </c>
      <c r="K30" s="844">
        <f>+'Producción MG'!J28/31</f>
        <v>0</v>
      </c>
      <c r="L30" s="844">
        <f>+'Producción MG'!K28/30</f>
        <v>0</v>
      </c>
      <c r="M30" s="844">
        <f>+'Producción MG'!L28/31</f>
        <v>0</v>
      </c>
      <c r="N30" s="844">
        <f>+'Producción MG'!M28/30</f>
        <v>0</v>
      </c>
      <c r="O30" s="844">
        <f>+'Producción MG'!N28/31</f>
        <v>0</v>
      </c>
      <c r="P30" s="224">
        <f t="shared" si="0"/>
        <v>21.78346114951357</v>
      </c>
      <c r="Q30" s="204">
        <f>SUM(D30:O30)</f>
        <v>261.40153379416284</v>
      </c>
    </row>
    <row r="31" spans="1:22" s="142" customFormat="1" ht="23.25" customHeight="1">
      <c r="A31" s="139"/>
      <c r="B31" s="140" t="s">
        <v>150</v>
      </c>
      <c r="C31" s="140">
        <f>SUM(C25:C30)</f>
        <v>64.361999999999995</v>
      </c>
      <c r="D31" s="225">
        <f>SUM(D25:D30)</f>
        <v>59.081870967741935</v>
      </c>
      <c r="E31" s="211">
        <f>SUM(E25:E30)</f>
        <v>60.947750000000013</v>
      </c>
      <c r="F31" s="211">
        <f>SUM(F25:F30)</f>
        <v>64.066161290322583</v>
      </c>
      <c r="G31" s="211">
        <f t="shared" ref="G31:O31" si="4">SUM(G25:G30)</f>
        <v>60.415199999999999</v>
      </c>
      <c r="H31" s="211">
        <f t="shared" si="4"/>
        <v>58.289161290322582</v>
      </c>
      <c r="I31" s="211">
        <f t="shared" si="4"/>
        <v>57.776433333333337</v>
      </c>
      <c r="J31" s="713">
        <f>SUM(J25:J30)</f>
        <v>0</v>
      </c>
      <c r="K31" s="211">
        <f t="shared" si="4"/>
        <v>0</v>
      </c>
      <c r="L31" s="211">
        <f>SUM(L25:L30)</f>
        <v>0</v>
      </c>
      <c r="M31" s="211">
        <f>SUM(M25:M30)</f>
        <v>0</v>
      </c>
      <c r="N31" s="211">
        <f>SUM(N25:N30)</f>
        <v>0</v>
      </c>
      <c r="O31" s="212">
        <f t="shared" si="4"/>
        <v>0</v>
      </c>
      <c r="P31" s="213">
        <f t="shared" si="0"/>
        <v>30.048048073476703</v>
      </c>
      <c r="Q31" s="214">
        <f>+P31+0.095</f>
        <v>30.143048073476702</v>
      </c>
    </row>
    <row r="32" spans="1:22" s="221" customFormat="1" ht="23.25" customHeight="1">
      <c r="A32" s="226"/>
      <c r="B32" s="216" t="s">
        <v>216</v>
      </c>
      <c r="C32" s="216"/>
      <c r="D32" s="227">
        <f>D31+D138</f>
        <v>60.555611935483867</v>
      </c>
      <c r="E32" s="217">
        <f>E31+D139</f>
        <v>62.401747857142873</v>
      </c>
      <c r="F32" s="217">
        <f>F31+D140</f>
        <v>65.499254193548396</v>
      </c>
      <c r="G32" s="217">
        <f>G31+D141</f>
        <v>61.82659233333333</v>
      </c>
      <c r="H32" s="217">
        <f>H31+D142</f>
        <v>59.730384838709682</v>
      </c>
      <c r="I32" s="217">
        <f>I31+D143</f>
        <v>59.261177333333336</v>
      </c>
      <c r="J32" s="714">
        <f>J31+D144</f>
        <v>0</v>
      </c>
      <c r="K32" s="217">
        <f>K31+D145</f>
        <v>0</v>
      </c>
      <c r="L32" s="217">
        <f>L31+D146</f>
        <v>0</v>
      </c>
      <c r="M32" s="217">
        <f>M31+D147</f>
        <v>0</v>
      </c>
      <c r="N32" s="217">
        <f>N31+D148</f>
        <v>0</v>
      </c>
      <c r="O32" s="218">
        <f>O31+D149</f>
        <v>0</v>
      </c>
      <c r="P32" s="219">
        <f>AVERAGE(D32:O32)</f>
        <v>30.772897374295951</v>
      </c>
      <c r="Q32" s="222"/>
    </row>
    <row r="33" spans="1:17">
      <c r="A33" s="144"/>
      <c r="B33" s="73" t="s">
        <v>151</v>
      </c>
      <c r="C33" s="73">
        <v>34.982999999999997</v>
      </c>
      <c r="D33" s="322">
        <f>+'Producción MG'!C30/31</f>
        <v>23.287741935483869</v>
      </c>
      <c r="E33" s="322">
        <f>+'Producción MG'!D30/28</f>
        <v>23.169642857142858</v>
      </c>
      <c r="F33" s="322">
        <f>+'Producción MG'!E30/31</f>
        <v>24.368387096774192</v>
      </c>
      <c r="G33" s="322">
        <f>+'Producción MG'!F30/30</f>
        <v>22.936</v>
      </c>
      <c r="H33" s="323">
        <f>+'Producción MG'!G30/31</f>
        <v>22.575161290322583</v>
      </c>
      <c r="I33" s="322">
        <f>+'Producción MG'!H30/30</f>
        <v>24.771666666666665</v>
      </c>
      <c r="J33" s="711">
        <f>+'Producción MG'!I30/31</f>
        <v>0</v>
      </c>
      <c r="K33" s="322">
        <f>+'Producción MG'!J30/31</f>
        <v>0</v>
      </c>
      <c r="L33" s="322">
        <f>+'Producción MG'!K30/30</f>
        <v>0</v>
      </c>
      <c r="M33" s="322">
        <f>+'Producción MG'!L30/31</f>
        <v>0</v>
      </c>
      <c r="N33" s="322">
        <f>+'Producción MG'!M30/30</f>
        <v>0</v>
      </c>
      <c r="O33" s="322">
        <f>+'Producción MG'!N30/31</f>
        <v>0</v>
      </c>
      <c r="P33" s="206">
        <f t="shared" si="0"/>
        <v>11.759049987199182</v>
      </c>
      <c r="Q33" s="22">
        <f>0.095/Q31</f>
        <v>3.1516388046898235E-3</v>
      </c>
    </row>
    <row r="34" spans="1:17" ht="12.75" customHeight="1">
      <c r="A34" s="914" t="s">
        <v>152</v>
      </c>
      <c r="B34" s="73" t="s">
        <v>153</v>
      </c>
      <c r="C34" s="73">
        <v>6.5350000000000001</v>
      </c>
      <c r="D34" s="322">
        <f>+'Producción MG'!C31/31</f>
        <v>0</v>
      </c>
      <c r="E34" s="205">
        <f>'Producción MG'!D31/28</f>
        <v>0</v>
      </c>
      <c r="F34" s="205">
        <f>'Producción MG'!E31/31</f>
        <v>0</v>
      </c>
      <c r="G34" s="205"/>
      <c r="H34" s="854">
        <f>'Producción MG'!G31/31</f>
        <v>0</v>
      </c>
      <c r="I34" s="322">
        <f>+'Producción MG'!H31/30</f>
        <v>0</v>
      </c>
      <c r="J34" s="715">
        <f>'Producción MG'!I31/31</f>
        <v>0</v>
      </c>
      <c r="K34" s="739">
        <f>'Producción MG'!J31/31</f>
        <v>0</v>
      </c>
      <c r="L34" s="205">
        <f>'Producción MG'!K31/30</f>
        <v>0</v>
      </c>
      <c r="M34" s="205">
        <f>'Producción MG'!L31/31</f>
        <v>0</v>
      </c>
      <c r="N34" s="205">
        <f>'Producción MG'!M31/30</f>
        <v>0</v>
      </c>
      <c r="O34" s="205">
        <f>'Producción MG'!N31/31</f>
        <v>0</v>
      </c>
      <c r="P34" s="206">
        <f t="shared" si="0"/>
        <v>0</v>
      </c>
      <c r="Q34" s="204">
        <f>SUM(D34:N34)</f>
        <v>0</v>
      </c>
    </row>
    <row r="35" spans="1:17">
      <c r="A35" s="914"/>
      <c r="B35" s="73" t="s">
        <v>154</v>
      </c>
      <c r="C35" s="73"/>
      <c r="D35" s="322">
        <f>+'Producción MG'!C32/31</f>
        <v>0</v>
      </c>
      <c r="E35" s="205">
        <f>'Producción MG'!D32/28</f>
        <v>0</v>
      </c>
      <c r="F35" s="205">
        <f>'Producción MG'!E32/31</f>
        <v>0</v>
      </c>
      <c r="G35" s="205">
        <f>'Producción MG'!F32/30</f>
        <v>0</v>
      </c>
      <c r="H35" s="854">
        <f>'Producción MG'!G32/31</f>
        <v>0</v>
      </c>
      <c r="I35" s="322">
        <f>+'Producción MG'!H32/30</f>
        <v>0</v>
      </c>
      <c r="J35" s="715">
        <f>'Producción MG'!I32/31</f>
        <v>0</v>
      </c>
      <c r="K35" s="739">
        <f>'Producción MG'!J32/31</f>
        <v>0</v>
      </c>
      <c r="L35" s="205">
        <f>'Producción MG'!K32/30</f>
        <v>0</v>
      </c>
      <c r="M35" s="205">
        <f>'Producción MG'!L32/31</f>
        <v>0</v>
      </c>
      <c r="N35" s="205">
        <f>'Producción MG'!M32/30</f>
        <v>0</v>
      </c>
      <c r="O35" s="205">
        <f>'Producción MG'!N32/31</f>
        <v>0</v>
      </c>
      <c r="P35" s="206">
        <f t="shared" si="0"/>
        <v>0</v>
      </c>
      <c r="Q35" s="191"/>
    </row>
    <row r="36" spans="1:17">
      <c r="A36" s="914"/>
      <c r="B36" s="73" t="s">
        <v>155</v>
      </c>
      <c r="C36" s="73">
        <v>31.684000000000001</v>
      </c>
      <c r="D36" s="322">
        <f>+'Producción MG'!C33/31</f>
        <v>23.182580645161288</v>
      </c>
      <c r="E36" s="322">
        <f>+'Producción MG'!D33/28</f>
        <v>22.052857142857142</v>
      </c>
      <c r="F36" s="322">
        <f>+'Producción MG'!E33/31</f>
        <v>21.250967741935483</v>
      </c>
      <c r="G36" s="322">
        <f>+'Producción MG'!F33/30</f>
        <v>21.804333333333332</v>
      </c>
      <c r="H36" s="323">
        <f>+'Producción MG'!G33/31</f>
        <v>21.891290322580645</v>
      </c>
      <c r="I36" s="322">
        <f>+'Producción MG'!H33/30</f>
        <v>18.510333333333332</v>
      </c>
      <c r="J36" s="711">
        <f>+'Producción MG'!I33/31</f>
        <v>0</v>
      </c>
      <c r="K36" s="322">
        <f>+'Producción MG'!J33/31</f>
        <v>0</v>
      </c>
      <c r="L36" s="322">
        <f>+'Producción MG'!K33/30</f>
        <v>0</v>
      </c>
      <c r="M36" s="322">
        <f>+'Producción MG'!L33/31</f>
        <v>0</v>
      </c>
      <c r="N36" s="322">
        <f>+'Producción MG'!M33/30</f>
        <v>0</v>
      </c>
      <c r="O36" s="322">
        <f>+'Producción MG'!N33/31</f>
        <v>0</v>
      </c>
      <c r="P36" s="206">
        <f>AVERAGE(D36:O36)</f>
        <v>10.724363543266769</v>
      </c>
      <c r="Q36" s="191"/>
    </row>
    <row r="37" spans="1:17">
      <c r="A37" s="914"/>
      <c r="B37" s="73" t="s">
        <v>156</v>
      </c>
      <c r="C37" s="73"/>
      <c r="D37" s="322">
        <f>+'Producción MG'!C34/31</f>
        <v>0</v>
      </c>
      <c r="E37" s="205">
        <f>'Producción MG'!D34/28</f>
        <v>0</v>
      </c>
      <c r="F37" s="205">
        <f>'Producción MG'!E34/31</f>
        <v>0</v>
      </c>
      <c r="G37" s="205">
        <f>'Producción MG'!F34/30</f>
        <v>0</v>
      </c>
      <c r="H37" s="854">
        <f>'Producción MG'!G34/31</f>
        <v>0</v>
      </c>
      <c r="I37" s="322">
        <f>+'Producción MG'!H34/30</f>
        <v>0</v>
      </c>
      <c r="J37" s="715">
        <f>'Producción MG'!I34/31</f>
        <v>0</v>
      </c>
      <c r="K37" s="739">
        <f>'Producción MG'!J34/31</f>
        <v>0</v>
      </c>
      <c r="L37" s="205">
        <f>'Producción MG'!K34/30</f>
        <v>0</v>
      </c>
      <c r="M37" s="205">
        <f>'Producción MG'!L34/31</f>
        <v>0</v>
      </c>
      <c r="N37" s="205">
        <f>'Producción MG'!M34/30</f>
        <v>0</v>
      </c>
      <c r="O37" s="205">
        <f>'Producción MG'!N34/31</f>
        <v>0</v>
      </c>
      <c r="P37" s="206">
        <f t="shared" si="0"/>
        <v>0</v>
      </c>
      <c r="Q37" s="191"/>
    </row>
    <row r="38" spans="1:17">
      <c r="A38" s="914"/>
      <c r="B38" s="73" t="s">
        <v>157</v>
      </c>
      <c r="C38" s="73"/>
      <c r="D38" s="322">
        <f>+'Producción MG'!C35/31</f>
        <v>0</v>
      </c>
      <c r="E38" s="205">
        <f>'Producción MG'!D35/28</f>
        <v>0</v>
      </c>
      <c r="F38" s="205">
        <f>'Producción MG'!E35/31</f>
        <v>0</v>
      </c>
      <c r="G38" s="205">
        <f>'Producción MG'!F35/30</f>
        <v>0</v>
      </c>
      <c r="H38" s="854">
        <f>'Producción MG'!G35/31</f>
        <v>0</v>
      </c>
      <c r="I38" s="322">
        <f>+'Producción MG'!H35/30</f>
        <v>0</v>
      </c>
      <c r="J38" s="715">
        <f>'Producción MG'!I35/31</f>
        <v>0</v>
      </c>
      <c r="K38" s="739">
        <f>'Producción MG'!J35/31</f>
        <v>0</v>
      </c>
      <c r="L38" s="205">
        <f>'Producción MG'!K35/30</f>
        <v>0</v>
      </c>
      <c r="M38" s="205">
        <f>'Producción MG'!L35/31</f>
        <v>0</v>
      </c>
      <c r="N38" s="205">
        <f>'Producción MG'!M35/30</f>
        <v>0</v>
      </c>
      <c r="O38" s="205">
        <f>'Producción MG'!N35/31</f>
        <v>0</v>
      </c>
      <c r="P38" s="206">
        <f t="shared" si="0"/>
        <v>0</v>
      </c>
      <c r="Q38" s="191"/>
    </row>
    <row r="39" spans="1:17">
      <c r="A39" s="150"/>
      <c r="B39" s="73" t="s">
        <v>158</v>
      </c>
      <c r="C39" s="73">
        <v>91.31</v>
      </c>
      <c r="D39" s="322">
        <f>+'Producción MG'!C36/31</f>
        <v>84.254903225806459</v>
      </c>
      <c r="E39" s="322">
        <f>+'Producción MG'!D36/28</f>
        <v>87.851321428571424</v>
      </c>
      <c r="F39" s="322">
        <f>+'Producción MG'!E36/31</f>
        <v>80.569419354838715</v>
      </c>
      <c r="G39" s="322">
        <f>+'Producción MG'!F36/30</f>
        <v>78.517333333333326</v>
      </c>
      <c r="H39" s="323">
        <f>+'Producción MG'!G36/31</f>
        <v>72.876838709677415</v>
      </c>
      <c r="I39" s="322">
        <f>+'Producción MG'!H36/30</f>
        <v>79.065200000000004</v>
      </c>
      <c r="J39" s="717">
        <f>+'Producción MG'!I36/31</f>
        <v>0</v>
      </c>
      <c r="K39" s="322">
        <f>+'Producción MG'!J36/31</f>
        <v>0</v>
      </c>
      <c r="L39" s="322">
        <f>+'Producción MG'!K36/30</f>
        <v>0</v>
      </c>
      <c r="M39" s="322">
        <f>+'Producción MG'!L36/31</f>
        <v>0</v>
      </c>
      <c r="N39" s="322">
        <f>+'Producción MG'!M36/30</f>
        <v>0</v>
      </c>
      <c r="O39" s="322">
        <f>+'Producción MG'!N36/31</f>
        <v>0</v>
      </c>
      <c r="P39" s="206">
        <f>AVERAGE(D39:O39)</f>
        <v>40.261251337685614</v>
      </c>
      <c r="Q39" s="191"/>
    </row>
    <row r="40" spans="1:17">
      <c r="A40" s="150"/>
      <c r="B40" s="843" t="s">
        <v>138</v>
      </c>
      <c r="C40" s="843">
        <v>3.4239999999999999</v>
      </c>
      <c r="D40" s="844">
        <f>+'Producción MG'!C37/31</f>
        <v>1.5548387096774194</v>
      </c>
      <c r="E40" s="844">
        <f>+'Producción MG'!D37/28</f>
        <v>1.4689285714285716</v>
      </c>
      <c r="F40" s="844">
        <f>+'Producción MG'!E37/31</f>
        <v>1.4514193548387098</v>
      </c>
      <c r="G40" s="844">
        <f>+'Producción MG'!F37/30</f>
        <v>1.6703333333333332</v>
      </c>
      <c r="H40" s="845">
        <f>+'Producción MG'!G37/31</f>
        <v>1.5116129032258063</v>
      </c>
      <c r="I40" s="844">
        <f>+'Producción MG'!H37/30</f>
        <v>1.583</v>
      </c>
      <c r="J40" s="846">
        <f>+'Producción MG'!I37/31</f>
        <v>0</v>
      </c>
      <c r="K40" s="844">
        <f>+'Producción MG'!J37/31</f>
        <v>0</v>
      </c>
      <c r="L40" s="844">
        <f>+'Producción MG'!K37/30</f>
        <v>0</v>
      </c>
      <c r="M40" s="844">
        <f>+'Producción MG'!L37/31</f>
        <v>0</v>
      </c>
      <c r="N40" s="844">
        <f>+'Producción MG'!M37/30</f>
        <v>0</v>
      </c>
      <c r="O40" s="844">
        <f>+'Producción MG'!N37/31</f>
        <v>0</v>
      </c>
      <c r="P40" s="206">
        <f t="shared" si="0"/>
        <v>0.77001107270865343</v>
      </c>
      <c r="Q40" s="204">
        <f>SUM(D40:N40)</f>
        <v>9.2401328725038407</v>
      </c>
    </row>
    <row r="41" spans="1:17" s="142" customFormat="1" ht="18" customHeight="1">
      <c r="A41" s="139"/>
      <c r="B41" s="464" t="s">
        <v>159</v>
      </c>
      <c r="C41" s="464">
        <f>SUM(C33:C40)</f>
        <v>167.93600000000001</v>
      </c>
      <c r="D41" s="670">
        <f>SUM(D33:D40)</f>
        <v>132.28006451612904</v>
      </c>
      <c r="E41" s="670">
        <f>SUM(E33:E40)</f>
        <v>134.54274999999998</v>
      </c>
      <c r="F41" s="670">
        <f t="shared" ref="F41:O41" si="5">SUM(F33:F40)</f>
        <v>127.6401935483871</v>
      </c>
      <c r="G41" s="670">
        <f t="shared" si="5"/>
        <v>124.928</v>
      </c>
      <c r="H41" s="670">
        <f t="shared" si="5"/>
        <v>118.85490322580645</v>
      </c>
      <c r="I41" s="211">
        <f t="shared" si="5"/>
        <v>123.9302</v>
      </c>
      <c r="J41" s="713">
        <f>SUM(J33:J40)</f>
        <v>0</v>
      </c>
      <c r="K41" s="211">
        <f>SUM(K33:K40)</f>
        <v>0</v>
      </c>
      <c r="L41" s="211">
        <f>SUM(L33:L40)</f>
        <v>0</v>
      </c>
      <c r="M41" s="211">
        <f t="shared" si="5"/>
        <v>0</v>
      </c>
      <c r="N41" s="212">
        <f>SUM(N33:N40)</f>
        <v>0</v>
      </c>
      <c r="O41" s="212">
        <f t="shared" si="5"/>
        <v>0</v>
      </c>
      <c r="P41" s="213">
        <f>AVERAGE(D41:O41)</f>
        <v>63.514675940860222</v>
      </c>
      <c r="Q41" s="214">
        <f>+P41+P31</f>
        <v>93.562724014336922</v>
      </c>
    </row>
    <row r="42" spans="1:17">
      <c r="A42" s="154"/>
      <c r="B42" s="207" t="s">
        <v>160</v>
      </c>
      <c r="C42" s="207"/>
      <c r="D42" s="208">
        <f>+D43-D12</f>
        <v>272.31009677419354</v>
      </c>
      <c r="E42" s="208">
        <f>+E43-E12</f>
        <v>277.24814285714285</v>
      </c>
      <c r="F42" s="209">
        <f t="shared" ref="F42:O42" si="6">+F43-F12</f>
        <v>268.1499032258065</v>
      </c>
      <c r="G42" s="209">
        <f t="shared" si="6"/>
        <v>263.28643333333332</v>
      </c>
      <c r="H42" s="209">
        <f t="shared" si="6"/>
        <v>252.39796774193547</v>
      </c>
      <c r="I42" s="208">
        <f t="shared" si="6"/>
        <v>261.43870000000004</v>
      </c>
      <c r="J42" s="712">
        <f>+J43-J12</f>
        <v>0</v>
      </c>
      <c r="K42" s="208">
        <f>+K43-K12</f>
        <v>0</v>
      </c>
      <c r="L42" s="209">
        <f>+L43-L12</f>
        <v>0</v>
      </c>
      <c r="M42" s="209">
        <f t="shared" si="6"/>
        <v>0</v>
      </c>
      <c r="N42" s="209">
        <f>+N43-N12</f>
        <v>0</v>
      </c>
      <c r="O42" s="208">
        <f t="shared" si="6"/>
        <v>0</v>
      </c>
      <c r="P42" s="234">
        <f>AVERAGE(D42:F42)</f>
        <v>272.56938095238098</v>
      </c>
      <c r="Q42" s="235"/>
    </row>
    <row r="43" spans="1:17" s="159" customFormat="1" ht="20.25" customHeight="1" thickBot="1">
      <c r="A43" s="915" t="s">
        <v>161</v>
      </c>
      <c r="B43" s="915"/>
      <c r="C43" s="616">
        <f>SUM(C17+C23+C31+C41+C9)</f>
        <v>572.53800000000001</v>
      </c>
      <c r="D43" s="236">
        <f>+D41+D31+D23+D17+D9</f>
        <v>454.27696774193544</v>
      </c>
      <c r="E43" s="236">
        <f>+E41+E31+E23+E17+E9</f>
        <v>456.53082142857141</v>
      </c>
      <c r="F43" s="236">
        <f>+F41+F31+F23+F17+F9</f>
        <v>439.84967741935486</v>
      </c>
      <c r="G43" s="236">
        <f>+G41+G31+G23+G17+G9</f>
        <v>436.21510000000001</v>
      </c>
      <c r="H43" s="236">
        <f>+H41+H31+H23+H17+H9</f>
        <v>427.10174193548386</v>
      </c>
      <c r="I43" s="237">
        <f t="shared" ref="I43:M43" si="7">+I41+I31+I23+I17+I9</f>
        <v>443.10993333333334</v>
      </c>
      <c r="J43" s="716">
        <f>+J41+J31+J23+J17+J9</f>
        <v>0</v>
      </c>
      <c r="K43" s="237">
        <f>+K41+K31+K23+K17+K9</f>
        <v>0</v>
      </c>
      <c r="L43" s="236">
        <f t="shared" si="7"/>
        <v>0</v>
      </c>
      <c r="M43" s="511">
        <f t="shared" si="7"/>
        <v>0</v>
      </c>
      <c r="N43" s="796">
        <f>+N41+N31+N23+N17+N9</f>
        <v>0</v>
      </c>
      <c r="O43" s="511">
        <f>+O41+O31+O23+O17+O9</f>
        <v>0</v>
      </c>
      <c r="P43" s="237">
        <f>+P41+P31+P23+P17+P9</f>
        <v>221.4236868215566</v>
      </c>
      <c r="Q43" s="238">
        <f>+P43/22.827</f>
        <v>9.7000782766704603</v>
      </c>
    </row>
    <row r="44" spans="1:17" ht="16.5" customHeight="1" thickTop="1">
      <c r="D44" s="191"/>
      <c r="E44" s="191"/>
      <c r="F44" s="191">
        <f>+AVERAGE(D43:G43)</f>
        <v>446.71814164746536</v>
      </c>
      <c r="G44" s="191"/>
      <c r="H44" s="191">
        <f>+H43-G43</f>
        <v>-9.1133580645161487</v>
      </c>
      <c r="I44" s="191"/>
      <c r="J44" s="191">
        <f>+J43-I43</f>
        <v>-443.10993333333334</v>
      </c>
      <c r="K44" s="191"/>
      <c r="L44" s="191"/>
      <c r="N44" s="190"/>
      <c r="Q44" s="52">
        <f>+P41+P31</f>
        <v>93.562724014336922</v>
      </c>
    </row>
    <row r="45" spans="1:17">
      <c r="K45" s="74">
        <f>+O43-D43</f>
        <v>-454.27696774193544</v>
      </c>
      <c r="M45" s="191">
        <f>+M43/22.827</f>
        <v>0</v>
      </c>
      <c r="N45" s="191">
        <f>+N43/22.827</f>
        <v>0</v>
      </c>
      <c r="O45" s="191">
        <f>+O43/22.827</f>
        <v>0</v>
      </c>
      <c r="P45" s="121">
        <f>+P43/22.827</f>
        <v>9.7000782766704603</v>
      </c>
    </row>
    <row r="46" spans="1:17" ht="16.5" thickBot="1">
      <c r="A46" t="s">
        <v>162</v>
      </c>
      <c r="N46" s="191"/>
      <c r="P46" s="52"/>
      <c r="Q46" s="191">
        <f>+Q44/22.827</f>
        <v>4.098774434412622</v>
      </c>
    </row>
    <row r="47" spans="1:17" ht="15.75" customHeight="1" thickTop="1" thickBot="1">
      <c r="A47" s="897" t="s">
        <v>163</v>
      </c>
      <c r="B47" s="897"/>
      <c r="C47" s="624"/>
      <c r="D47" s="80" t="s">
        <v>117</v>
      </c>
      <c r="E47" s="80" t="s">
        <v>118</v>
      </c>
      <c r="F47" s="80" t="s">
        <v>119</v>
      </c>
      <c r="G47" s="239" t="s">
        <v>120</v>
      </c>
      <c r="H47" s="80" t="s">
        <v>121</v>
      </c>
      <c r="I47" s="80" t="s">
        <v>122</v>
      </c>
      <c r="J47" s="80" t="s">
        <v>123</v>
      </c>
      <c r="K47" s="80" t="s">
        <v>124</v>
      </c>
      <c r="L47" s="239" t="s">
        <v>125</v>
      </c>
      <c r="M47" s="239" t="s">
        <v>126</v>
      </c>
      <c r="N47" s="80" t="s">
        <v>127</v>
      </c>
      <c r="O47" s="240" t="s">
        <v>128</v>
      </c>
      <c r="P47" s="81" t="s">
        <v>49</v>
      </c>
      <c r="Q47" s="241">
        <v>2</v>
      </c>
    </row>
    <row r="48" spans="1:17" ht="18.75" customHeight="1" thickTop="1">
      <c r="A48" s="242" t="s">
        <v>164</v>
      </c>
      <c r="B48" s="243"/>
      <c r="C48" s="243"/>
      <c r="D48" s="243">
        <f t="shared" ref="D48:P48" si="8">+D9+D13+D19+D39</f>
        <v>282.39748387096773</v>
      </c>
      <c r="E48" s="243">
        <f>+E9+E13+E19+E39</f>
        <v>284.38885714285709</v>
      </c>
      <c r="F48" s="243">
        <f t="shared" si="8"/>
        <v>269.33490322580644</v>
      </c>
      <c r="G48" s="244">
        <f t="shared" si="8"/>
        <v>265.71486666666664</v>
      </c>
      <c r="H48" s="243">
        <f t="shared" si="8"/>
        <v>260.15554838709676</v>
      </c>
      <c r="I48" s="243">
        <f t="shared" si="8"/>
        <v>275.08733333333333</v>
      </c>
      <c r="J48" s="243">
        <f t="shared" si="8"/>
        <v>0</v>
      </c>
      <c r="K48" s="243">
        <f t="shared" si="8"/>
        <v>0</v>
      </c>
      <c r="L48" s="244">
        <f t="shared" si="8"/>
        <v>0</v>
      </c>
      <c r="M48" s="244">
        <f t="shared" si="8"/>
        <v>0</v>
      </c>
      <c r="N48" s="243">
        <f t="shared" si="8"/>
        <v>0</v>
      </c>
      <c r="O48" s="243">
        <f t="shared" si="8"/>
        <v>0</v>
      </c>
      <c r="P48" s="243">
        <f t="shared" si="8"/>
        <v>136.42324938556067</v>
      </c>
      <c r="Q48" s="191">
        <f>+Q47+Q46</f>
        <v>6.098774434412622</v>
      </c>
    </row>
    <row r="49" spans="1:27" ht="17.25" customHeight="1" thickBot="1">
      <c r="A49" s="245" t="s">
        <v>165</v>
      </c>
      <c r="B49" s="246"/>
      <c r="C49" s="246"/>
      <c r="D49" s="246">
        <f>+D43-D48</f>
        <v>171.8794838709677</v>
      </c>
      <c r="E49" s="246">
        <f>+E43-E48</f>
        <v>172.14196428571432</v>
      </c>
      <c r="F49" s="246">
        <f t="shared" ref="F49:O49" si="9">+F43-F48</f>
        <v>170.51477419354842</v>
      </c>
      <c r="G49" s="247">
        <f t="shared" si="9"/>
        <v>170.50023333333337</v>
      </c>
      <c r="H49" s="246">
        <f t="shared" si="9"/>
        <v>166.9461935483871</v>
      </c>
      <c r="I49" s="246">
        <f t="shared" si="9"/>
        <v>168.02260000000001</v>
      </c>
      <c r="J49" s="246">
        <f t="shared" si="9"/>
        <v>0</v>
      </c>
      <c r="K49" s="246">
        <f t="shared" si="9"/>
        <v>0</v>
      </c>
      <c r="L49" s="247">
        <f t="shared" si="9"/>
        <v>0</v>
      </c>
      <c r="M49" s="247">
        <f t="shared" si="9"/>
        <v>0</v>
      </c>
      <c r="N49" s="246">
        <f t="shared" si="9"/>
        <v>0</v>
      </c>
      <c r="O49" s="246">
        <f t="shared" si="9"/>
        <v>0</v>
      </c>
      <c r="P49" s="246">
        <f>+P43-P48</f>
        <v>85.000437435995934</v>
      </c>
      <c r="Q49" s="59">
        <f>+Q47/Q48</f>
        <v>0.32793473861156525</v>
      </c>
    </row>
    <row r="50" spans="1:27" ht="15.75" customHeight="1" thickTop="1">
      <c r="A50" s="924" t="s">
        <v>218</v>
      </c>
      <c r="B50" s="924"/>
      <c r="C50" s="590"/>
      <c r="D50" s="248" t="s">
        <v>117</v>
      </c>
      <c r="E50" s="248" t="s">
        <v>118</v>
      </c>
      <c r="F50" s="248" t="s">
        <v>119</v>
      </c>
      <c r="G50" s="249" t="s">
        <v>120</v>
      </c>
      <c r="H50" s="248" t="s">
        <v>121</v>
      </c>
      <c r="I50" s="248" t="s">
        <v>122</v>
      </c>
      <c r="J50" s="248" t="s">
        <v>123</v>
      </c>
      <c r="K50" s="248" t="s">
        <v>124</v>
      </c>
      <c r="L50" s="249" t="s">
        <v>125</v>
      </c>
      <c r="M50" s="249" t="s">
        <v>126</v>
      </c>
      <c r="N50" s="248" t="s">
        <v>127</v>
      </c>
      <c r="O50" s="250" t="s">
        <v>128</v>
      </c>
      <c r="P50" s="251" t="s">
        <v>49</v>
      </c>
      <c r="Q50" s="252"/>
    </row>
    <row r="51" spans="1:27" ht="17.25" customHeight="1">
      <c r="A51" s="925" t="s">
        <v>219</v>
      </c>
      <c r="B51" s="925"/>
      <c r="C51" s="591"/>
      <c r="D51" s="324">
        <f>+(D9+D10+D11)/D43</f>
        <v>0.40056371748768299</v>
      </c>
      <c r="E51" s="69">
        <f t="shared" ref="E51:P51" si="10">+(E9+E10+E11)/E43</f>
        <v>0.39270662605083079</v>
      </c>
      <c r="F51" s="69">
        <f t="shared" si="10"/>
        <v>0.39036012303323564</v>
      </c>
      <c r="G51" s="253">
        <f t="shared" si="10"/>
        <v>0.3964298041646579</v>
      </c>
      <c r="H51" s="69">
        <f t="shared" si="10"/>
        <v>0.40904486458390138</v>
      </c>
      <c r="I51" s="69">
        <f t="shared" si="10"/>
        <v>0.40999133548348948</v>
      </c>
      <c r="J51" s="69" t="e">
        <f t="shared" si="10"/>
        <v>#DIV/0!</v>
      </c>
      <c r="K51" s="69" t="e">
        <f t="shared" si="10"/>
        <v>#DIV/0!</v>
      </c>
      <c r="L51" s="253" t="e">
        <f t="shared" si="10"/>
        <v>#DIV/0!</v>
      </c>
      <c r="M51" s="253" t="e">
        <f t="shared" si="10"/>
        <v>#DIV/0!</v>
      </c>
      <c r="N51" s="69" t="e">
        <f t="shared" si="10"/>
        <v>#DIV/0!</v>
      </c>
      <c r="O51" s="254" t="e">
        <f t="shared" si="10"/>
        <v>#DIV/0!</v>
      </c>
      <c r="P51" s="69">
        <f t="shared" si="10"/>
        <v>0.39978145261333592</v>
      </c>
      <c r="Q51" s="79">
        <f>AVERAGE(D43:L43)</f>
        <v>295.23158242874206</v>
      </c>
    </row>
    <row r="52" spans="1:27" ht="17.25" customHeight="1">
      <c r="A52" s="925" t="s">
        <v>220</v>
      </c>
      <c r="B52" s="925"/>
      <c r="C52" s="591"/>
      <c r="D52" s="255">
        <f>100%-D51</f>
        <v>0.59943628251231695</v>
      </c>
      <c r="E52" s="255">
        <f>100%-E51</f>
        <v>0.60729337394916927</v>
      </c>
      <c r="F52" s="255">
        <f t="shared" ref="F52:O52" si="11">100%-F51</f>
        <v>0.60963987696676436</v>
      </c>
      <c r="G52" s="253">
        <f t="shared" si="11"/>
        <v>0.6035701958353421</v>
      </c>
      <c r="H52" s="255">
        <f t="shared" si="11"/>
        <v>0.59095513541609868</v>
      </c>
      <c r="I52" s="255">
        <f t="shared" si="11"/>
        <v>0.59000866451651057</v>
      </c>
      <c r="J52" s="255" t="e">
        <f t="shared" si="11"/>
        <v>#DIV/0!</v>
      </c>
      <c r="K52" s="255" t="e">
        <f t="shared" si="11"/>
        <v>#DIV/0!</v>
      </c>
      <c r="L52" s="253" t="e">
        <f t="shared" si="11"/>
        <v>#DIV/0!</v>
      </c>
      <c r="M52" s="253" t="e">
        <f t="shared" si="11"/>
        <v>#DIV/0!</v>
      </c>
      <c r="N52" s="255" t="e">
        <f t="shared" si="11"/>
        <v>#DIV/0!</v>
      </c>
      <c r="O52" s="254" t="e">
        <f t="shared" si="11"/>
        <v>#DIV/0!</v>
      </c>
      <c r="P52" s="255">
        <f>100%-P51</f>
        <v>0.60021854738666414</v>
      </c>
      <c r="Q52" s="191">
        <f>+Q51/22.827</f>
        <v>12.933437702227277</v>
      </c>
    </row>
    <row r="53" spans="1:27" ht="17.25" customHeight="1">
      <c r="A53" s="926" t="s">
        <v>221</v>
      </c>
      <c r="B53" s="926"/>
      <c r="C53" s="592"/>
      <c r="D53" s="256"/>
      <c r="E53" s="256"/>
      <c r="F53" s="256"/>
      <c r="G53" s="257"/>
      <c r="H53" s="256"/>
      <c r="I53" s="256"/>
      <c r="J53" s="256"/>
      <c r="K53" s="256"/>
      <c r="L53" s="257"/>
      <c r="M53" s="257"/>
      <c r="N53" s="256"/>
      <c r="O53" s="258"/>
      <c r="P53" s="256"/>
      <c r="Q53" s="191">
        <f>+Q52*1000</f>
        <v>12933.437702227277</v>
      </c>
    </row>
    <row r="54" spans="1:27" ht="17.25" customHeight="1">
      <c r="A54" s="925" t="s">
        <v>222</v>
      </c>
      <c r="B54" s="925"/>
      <c r="C54" s="591"/>
      <c r="D54" s="254">
        <f>+D13+D9+D10+D11+D19+D39</f>
        <v>316.99025806451613</v>
      </c>
      <c r="E54" s="254">
        <f t="shared" ref="E54:P54" si="12">+E13+E9+E10+E11+E19+E39</f>
        <v>318.27175</v>
      </c>
      <c r="F54" s="254">
        <f t="shared" si="12"/>
        <v>297.72538709677417</v>
      </c>
      <c r="G54" s="253">
        <f t="shared" si="12"/>
        <v>297.5043</v>
      </c>
      <c r="H54" s="254">
        <f t="shared" si="12"/>
        <v>290.73696774193547</v>
      </c>
      <c r="I54" s="254">
        <f t="shared" si="12"/>
        <v>308.28416666666669</v>
      </c>
      <c r="J54" s="254">
        <f t="shared" si="12"/>
        <v>0</v>
      </c>
      <c r="K54" s="254">
        <f t="shared" si="12"/>
        <v>0</v>
      </c>
      <c r="L54" s="253">
        <f t="shared" si="12"/>
        <v>0</v>
      </c>
      <c r="M54" s="253">
        <f t="shared" si="12"/>
        <v>0</v>
      </c>
      <c r="N54" s="254">
        <f t="shared" si="12"/>
        <v>0</v>
      </c>
      <c r="O54" s="254">
        <f t="shared" si="12"/>
        <v>0</v>
      </c>
      <c r="P54" s="254">
        <f t="shared" si="12"/>
        <v>152.45940246415771</v>
      </c>
      <c r="Q54" s="191"/>
    </row>
    <row r="55" spans="1:27" ht="17.25" customHeight="1">
      <c r="A55" s="925" t="s">
        <v>223</v>
      </c>
      <c r="B55" s="925"/>
      <c r="C55" s="591"/>
      <c r="D55" s="254">
        <f>+D43-D54</f>
        <v>137.28670967741931</v>
      </c>
      <c r="E55" s="254">
        <f t="shared" ref="E55:O55" si="13">+E43-E54</f>
        <v>138.25907142857142</v>
      </c>
      <c r="F55" s="254">
        <f t="shared" si="13"/>
        <v>142.12429032258069</v>
      </c>
      <c r="G55" s="253">
        <f t="shared" si="13"/>
        <v>138.71080000000001</v>
      </c>
      <c r="H55" s="254">
        <f t="shared" si="13"/>
        <v>136.36477419354839</v>
      </c>
      <c r="I55" s="254">
        <f t="shared" si="13"/>
        <v>134.82576666666665</v>
      </c>
      <c r="J55" s="254">
        <f t="shared" si="13"/>
        <v>0</v>
      </c>
      <c r="K55" s="254">
        <f t="shared" si="13"/>
        <v>0</v>
      </c>
      <c r="L55" s="253">
        <f t="shared" si="13"/>
        <v>0</v>
      </c>
      <c r="M55" s="253">
        <f t="shared" si="13"/>
        <v>0</v>
      </c>
      <c r="N55" s="254">
        <f t="shared" si="13"/>
        <v>0</v>
      </c>
      <c r="O55" s="254">
        <f t="shared" si="13"/>
        <v>0</v>
      </c>
      <c r="P55" s="254">
        <f>+P43-P54</f>
        <v>68.964284357398896</v>
      </c>
      <c r="Q55" s="59">
        <f>+P55/P43</f>
        <v>0.31145847739847549</v>
      </c>
    </row>
    <row r="56" spans="1:27">
      <c r="A56" s="921" t="s">
        <v>224</v>
      </c>
      <c r="B56" s="921"/>
      <c r="C56" s="7"/>
      <c r="D56" s="59">
        <f>+D55/D43</f>
        <v>0.30220926753083555</v>
      </c>
      <c r="E56" s="59">
        <f t="shared" ref="E56:J56" si="14">+E55/E43</f>
        <v>0.30284717907091702</v>
      </c>
      <c r="F56" s="59">
        <f t="shared" si="14"/>
        <v>0.32312014221867597</v>
      </c>
      <c r="G56" s="190">
        <f t="shared" si="14"/>
        <v>0.31798715817036138</v>
      </c>
      <c r="H56" s="59">
        <f t="shared" si="14"/>
        <v>0.3192793678985909</v>
      </c>
      <c r="I56" s="59">
        <f t="shared" si="14"/>
        <v>0.30427159610805382</v>
      </c>
      <c r="J56" s="59" t="e">
        <f t="shared" si="14"/>
        <v>#DIV/0!</v>
      </c>
      <c r="K56" s="59" t="e">
        <f>+K55/K43</f>
        <v>#DIV/0!</v>
      </c>
    </row>
    <row r="57" spans="1:27">
      <c r="B57" s="52"/>
      <c r="C57" s="52"/>
      <c r="D57" s="191">
        <f>+D43/22.827</f>
        <v>19.900861599944601</v>
      </c>
      <c r="E57" s="59"/>
      <c r="F57" s="79"/>
      <c r="S57" s="191"/>
      <c r="U57" s="191"/>
      <c r="AA57" s="259"/>
    </row>
    <row r="58" spans="1:27">
      <c r="B58" t="s">
        <v>226</v>
      </c>
      <c r="D58" s="121">
        <f>+D43/264</f>
        <v>1.7207460899315736</v>
      </c>
      <c r="E58" s="121">
        <f t="shared" ref="E58:P58" si="15">+E43/264</f>
        <v>1.7292834145021645</v>
      </c>
      <c r="F58" s="121">
        <f>+F43/264</f>
        <v>1.6660972629521018</v>
      </c>
      <c r="G58" s="190">
        <f t="shared" si="15"/>
        <v>1.6523299242424243</v>
      </c>
      <c r="H58" s="121">
        <f>+H43/264</f>
        <v>1.6178096285434995</v>
      </c>
      <c r="I58" s="121">
        <f t="shared" si="15"/>
        <v>1.6784467171717172</v>
      </c>
      <c r="J58" s="121">
        <f t="shared" si="15"/>
        <v>0</v>
      </c>
      <c r="K58" s="121">
        <f t="shared" si="15"/>
        <v>0</v>
      </c>
      <c r="L58" s="190">
        <f t="shared" si="15"/>
        <v>0</v>
      </c>
      <c r="M58" s="190">
        <f>+M43/264</f>
        <v>0</v>
      </c>
      <c r="N58" s="121">
        <f t="shared" si="15"/>
        <v>0</v>
      </c>
      <c r="O58" s="191">
        <f t="shared" si="15"/>
        <v>0</v>
      </c>
      <c r="P58" s="121">
        <f t="shared" si="15"/>
        <v>0.83872608644529012</v>
      </c>
      <c r="Q58" s="121"/>
      <c r="S58" s="191"/>
      <c r="AA58" s="259"/>
    </row>
    <row r="59" spans="1:27">
      <c r="B59" t="s">
        <v>227</v>
      </c>
      <c r="D59" s="191">
        <f>+D58*1000</f>
        <v>1720.7460899315736</v>
      </c>
      <c r="E59" s="191">
        <f>+E58*1000</f>
        <v>1729.2834145021645</v>
      </c>
      <c r="F59" s="191">
        <f>+F58*1000</f>
        <v>1666.0972629521018</v>
      </c>
      <c r="G59" s="190">
        <f t="shared" ref="G59:P59" si="16">+G58*1000</f>
        <v>1652.3299242424243</v>
      </c>
      <c r="H59" s="191">
        <f t="shared" si="16"/>
        <v>1617.8096285434995</v>
      </c>
      <c r="I59" s="191">
        <f t="shared" si="16"/>
        <v>1678.4467171717172</v>
      </c>
      <c r="J59" s="191">
        <f t="shared" si="16"/>
        <v>0</v>
      </c>
      <c r="K59" s="191">
        <f t="shared" si="16"/>
        <v>0</v>
      </c>
      <c r="L59" s="190">
        <f t="shared" si="16"/>
        <v>0</v>
      </c>
      <c r="M59" s="190">
        <f t="shared" si="16"/>
        <v>0</v>
      </c>
      <c r="N59" s="191">
        <f t="shared" si="16"/>
        <v>0</v>
      </c>
      <c r="O59" s="191">
        <f t="shared" si="16"/>
        <v>0</v>
      </c>
      <c r="P59" s="191">
        <f t="shared" si="16"/>
        <v>838.72608644529009</v>
      </c>
      <c r="Q59" s="191"/>
      <c r="S59" s="191">
        <f>+S56*1000000</f>
        <v>0</v>
      </c>
      <c r="T59" s="52" t="e">
        <f>+S59/'[2]produccion m3 por seg-MENSUAL'!R56</f>
        <v>#DIV/0!</v>
      </c>
    </row>
    <row r="60" spans="1:27">
      <c r="A60" s="1"/>
      <c r="B60" s="260"/>
      <c r="C60" s="260"/>
      <c r="P60" s="261"/>
      <c r="Q60" s="261"/>
      <c r="S60" s="52">
        <f>+S56/P64</f>
        <v>0</v>
      </c>
    </row>
    <row r="61" spans="1:27">
      <c r="A61" s="1"/>
      <c r="B61" s="52">
        <f>+I$43</f>
        <v>443.10993333333334</v>
      </c>
      <c r="C61" s="52"/>
      <c r="D61">
        <v>31</v>
      </c>
      <c r="E61">
        <v>29</v>
      </c>
      <c r="F61">
        <v>31</v>
      </c>
      <c r="G61" s="190">
        <v>30</v>
      </c>
      <c r="H61">
        <v>31</v>
      </c>
      <c r="I61">
        <v>30</v>
      </c>
      <c r="J61">
        <v>31</v>
      </c>
      <c r="K61">
        <v>31</v>
      </c>
      <c r="N61" s="52">
        <f>AVERAGE(D43:H43)</f>
        <v>442.79486170506908</v>
      </c>
      <c r="Q61">
        <f>299000/1000000</f>
        <v>0.29899999999999999</v>
      </c>
    </row>
    <row r="62" spans="1:27">
      <c r="A62" s="1"/>
      <c r="B62" s="52">
        <f>+I$43</f>
        <v>443.10993333333334</v>
      </c>
      <c r="C62" s="52"/>
      <c r="F62">
        <f>+F41/264</f>
        <v>0.48348558162267841</v>
      </c>
      <c r="P62" s="52"/>
      <c r="Q62" s="52">
        <f>+Q61+P31</f>
        <v>30.347048073476703</v>
      </c>
      <c r="T62" s="191">
        <v>16994292</v>
      </c>
      <c r="U62" s="191">
        <v>22646500</v>
      </c>
    </row>
    <row r="63" spans="1:27">
      <c r="A63" s="1"/>
      <c r="B63" s="52">
        <f>+I$43</f>
        <v>443.10993333333334</v>
      </c>
      <c r="C63" s="52"/>
      <c r="D63" s="59">
        <f t="shared" ref="D63:J63" si="17">+D54/D43</f>
        <v>0.69779073246916445</v>
      </c>
      <c r="E63" s="59">
        <f t="shared" si="17"/>
        <v>0.69715282092908293</v>
      </c>
      <c r="F63" s="59">
        <f>+F54/F43</f>
        <v>0.67687985778132398</v>
      </c>
      <c r="G63" s="190">
        <f t="shared" si="17"/>
        <v>0.68201284182963862</v>
      </c>
      <c r="H63" s="59">
        <f t="shared" si="17"/>
        <v>0.6807206321014091</v>
      </c>
      <c r="I63" s="59">
        <f t="shared" si="17"/>
        <v>0.69572840389194623</v>
      </c>
      <c r="J63" s="59" t="e">
        <f t="shared" si="17"/>
        <v>#DIV/0!</v>
      </c>
      <c r="L63" s="190" t="e">
        <f>+K54/K43</f>
        <v>#DIV/0!</v>
      </c>
      <c r="N63" s="262" t="s">
        <v>228</v>
      </c>
      <c r="O63" s="263"/>
      <c r="Q63" s="52">
        <f>+Q62/P31-1</f>
        <v>9.9507295538416862E-3</v>
      </c>
      <c r="T63" s="191">
        <f>+'[2]PROD M3'!Q38</f>
        <v>49162961167929.289</v>
      </c>
      <c r="U63" s="59">
        <f>+U62/T63</f>
        <v>4.6064149640305025E-7</v>
      </c>
    </row>
    <row r="64" spans="1:27">
      <c r="A64" s="1">
        <v>45292</v>
      </c>
      <c r="B64" s="52">
        <v>469.29309677419349</v>
      </c>
      <c r="C64" s="52"/>
      <c r="L64" s="190" t="e">
        <f>+K9/K54</f>
        <v>#DIV/0!</v>
      </c>
      <c r="N64" s="263">
        <v>961994.41209672287</v>
      </c>
      <c r="O64" s="263" t="s">
        <v>229</v>
      </c>
      <c r="P64" s="264">
        <f>+'[2]DATOS PARA INFORME ONE 2019'!B41</f>
        <v>3880684.2218869012</v>
      </c>
      <c r="Q64" s="264"/>
      <c r="R64" t="s">
        <v>230</v>
      </c>
      <c r="T64" s="59">
        <f>+T62/T63</f>
        <v>3.4567266894179612E-7</v>
      </c>
    </row>
    <row r="65" spans="1:21">
      <c r="A65" s="1">
        <v>45323</v>
      </c>
      <c r="B65" s="52">
        <v>458.72562068965522</v>
      </c>
      <c r="C65" s="52"/>
      <c r="N65" s="265">
        <f>+F62*1000000</f>
        <v>483485.58162267838</v>
      </c>
      <c r="O65" s="263" t="s">
        <v>231</v>
      </c>
      <c r="P65" s="261">
        <f>+M43*1000000</f>
        <v>0</v>
      </c>
      <c r="Q65" s="261"/>
      <c r="R65" s="191" t="s">
        <v>232</v>
      </c>
      <c r="S65" s="191">
        <f>+P65/264</f>
        <v>0</v>
      </c>
      <c r="T65" t="s">
        <v>217</v>
      </c>
    </row>
    <row r="66" spans="1:21">
      <c r="A66" s="1">
        <v>45352</v>
      </c>
      <c r="B66" s="52">
        <v>426.67480645161294</v>
      </c>
      <c r="C66" s="52"/>
      <c r="E66" s="52"/>
      <c r="F66" s="59" t="e">
        <f>+E66/E68</f>
        <v>#DIV/0!</v>
      </c>
      <c r="N66" s="263">
        <f>+N65/N64</f>
        <v>0.50258668402126516</v>
      </c>
      <c r="O66" s="263" t="s">
        <v>233</v>
      </c>
      <c r="P66" s="191">
        <f>+P65/P64</f>
        <v>0</v>
      </c>
      <c r="Q66" s="191"/>
      <c r="R66" t="s">
        <v>234</v>
      </c>
      <c r="S66" s="191">
        <f>+S65*1000</f>
        <v>0</v>
      </c>
      <c r="T66" t="s">
        <v>225</v>
      </c>
      <c r="U66">
        <f>+S65/86400</f>
        <v>0</v>
      </c>
    </row>
    <row r="67" spans="1:21">
      <c r="A67" s="1">
        <v>45383</v>
      </c>
      <c r="B67" s="52">
        <v>422.05179999999996</v>
      </c>
      <c r="C67" s="52"/>
      <c r="E67" s="52"/>
      <c r="F67" s="59" t="e">
        <f>+E67/E68</f>
        <v>#DIV/0!</v>
      </c>
      <c r="I67">
        <v>4</v>
      </c>
      <c r="J67" t="s">
        <v>195</v>
      </c>
      <c r="N67" s="191"/>
      <c r="P67" s="191">
        <f>+P66*1000</f>
        <v>0</v>
      </c>
      <c r="Q67" s="191"/>
      <c r="S67" s="52">
        <f>+S66/P64</f>
        <v>0</v>
      </c>
      <c r="U67">
        <f>+U66*1000</f>
        <v>0</v>
      </c>
    </row>
    <row r="68" spans="1:21">
      <c r="A68" s="1">
        <v>45413</v>
      </c>
      <c r="B68" s="52">
        <v>433.18499999999995</v>
      </c>
      <c r="C68" s="52"/>
      <c r="E68" s="52"/>
      <c r="I68">
        <f>+I67*22.827</f>
        <v>91.308000000000007</v>
      </c>
      <c r="T68">
        <f>+S66/86400</f>
        <v>0</v>
      </c>
    </row>
    <row r="69" spans="1:21">
      <c r="A69" s="1">
        <v>45444</v>
      </c>
      <c r="B69" s="52"/>
      <c r="C69" s="52"/>
      <c r="O69" s="922">
        <f>+P65*3.78</f>
        <v>0</v>
      </c>
      <c r="P69" s="922"/>
      <c r="Q69" s="266"/>
    </row>
    <row r="70" spans="1:21">
      <c r="A70" s="1">
        <v>45474</v>
      </c>
      <c r="B70" s="52"/>
      <c r="C70" s="52"/>
      <c r="E70">
        <v>3339410</v>
      </c>
    </row>
    <row r="71" spans="1:21">
      <c r="A71" s="1">
        <v>45505</v>
      </c>
      <c r="B71" s="52"/>
      <c r="C71" s="52"/>
      <c r="E71">
        <v>-142019</v>
      </c>
      <c r="I71">
        <f>384.04-403.75</f>
        <v>-19.70999999999998</v>
      </c>
      <c r="J71">
        <f>379.14-403.75</f>
        <v>-24.610000000000014</v>
      </c>
      <c r="P71">
        <f>570.68*1000000</f>
        <v>570680000</v>
      </c>
      <c r="R71" t="s">
        <v>235</v>
      </c>
      <c r="S71">
        <f>+P71/264</f>
        <v>2161666.6666666665</v>
      </c>
      <c r="T71" t="s">
        <v>217</v>
      </c>
    </row>
    <row r="72" spans="1:21">
      <c r="A72" s="1">
        <v>45536</v>
      </c>
      <c r="B72" s="52"/>
      <c r="C72" s="52"/>
      <c r="E72">
        <f>SUM(E70:E71)</f>
        <v>3197391</v>
      </c>
      <c r="I72">
        <f>+I71/384.04</f>
        <v>-5.1322778877200236E-2</v>
      </c>
      <c r="J72">
        <f>+J71/403.75</f>
        <v>-6.0953560371517064E-2</v>
      </c>
      <c r="S72">
        <f>+S71*1000</f>
        <v>2161666666.6666665</v>
      </c>
      <c r="T72" t="s">
        <v>225</v>
      </c>
    </row>
    <row r="73" spans="1:21" ht="16.5" thickBot="1">
      <c r="A73" s="1">
        <v>45566</v>
      </c>
      <c r="B73" s="52"/>
      <c r="C73" s="52"/>
      <c r="I73">
        <f>384*1.05132</f>
        <v>403.70688000000001</v>
      </c>
      <c r="P73" s="261">
        <f>+M45*1000000</f>
        <v>0</v>
      </c>
      <c r="Q73" s="191"/>
      <c r="S73" s="52">
        <f>+S72/P64</f>
        <v>557.03235385011601</v>
      </c>
      <c r="T73" t="s">
        <v>236</v>
      </c>
    </row>
    <row r="74" spans="1:21" ht="45.75" thickBot="1">
      <c r="A74" s="1">
        <v>45597</v>
      </c>
      <c r="B74" s="52"/>
      <c r="C74" s="52"/>
      <c r="P74" s="191">
        <v>1667769</v>
      </c>
      <c r="Q74" s="191"/>
      <c r="S74" s="267" t="s">
        <v>237</v>
      </c>
      <c r="T74" s="268">
        <v>1.5</v>
      </c>
    </row>
    <row r="75" spans="1:21" ht="23.25" thickBot="1">
      <c r="A75" s="1">
        <v>45627</v>
      </c>
      <c r="B75" s="52"/>
      <c r="C75" s="52"/>
      <c r="D75" t="s">
        <v>238</v>
      </c>
      <c r="E75" s="52">
        <f>+E9+E10+E11</f>
        <v>179.28267857142859</v>
      </c>
      <c r="F75" s="59">
        <f>+E75/E43</f>
        <v>0.39270662605083079</v>
      </c>
      <c r="P75" s="261"/>
      <c r="Q75" s="191"/>
      <c r="S75" s="267" t="s">
        <v>239</v>
      </c>
      <c r="T75" s="268">
        <v>0.4</v>
      </c>
    </row>
    <row r="76" spans="1:21" ht="23.25" thickBot="1">
      <c r="B76" s="52">
        <f>AVERAGE(B64:B75)</f>
        <v>441.98606478309227</v>
      </c>
      <c r="C76" s="52"/>
      <c r="D76" t="s">
        <v>240</v>
      </c>
      <c r="E76" s="52">
        <f>+E43-E75</f>
        <v>277.24814285714285</v>
      </c>
      <c r="F76" s="59">
        <f>+E76/E43</f>
        <v>0.60729337394916927</v>
      </c>
      <c r="P76" s="260"/>
      <c r="Q76" s="260"/>
      <c r="S76" s="269" t="s">
        <v>241</v>
      </c>
      <c r="T76" s="270">
        <v>0.6</v>
      </c>
    </row>
    <row r="77" spans="1:21" ht="34.5" thickBot="1">
      <c r="Q77">
        <f>4*22.827</f>
        <v>91.308000000000007</v>
      </c>
      <c r="S77" s="267" t="s">
        <v>242</v>
      </c>
      <c r="T77" s="268">
        <v>1.5</v>
      </c>
    </row>
    <row r="78" spans="1:21" ht="23.25" thickBot="1">
      <c r="N78" s="191">
        <v>554426</v>
      </c>
      <c r="O78" s="263" t="s">
        <v>243</v>
      </c>
      <c r="Q78" s="191">
        <f>+Q77*1000000</f>
        <v>91308000</v>
      </c>
      <c r="S78" s="269" t="s">
        <v>244</v>
      </c>
      <c r="T78" s="270">
        <v>0.4</v>
      </c>
    </row>
    <row r="79" spans="1:21" ht="16.5" thickBot="1">
      <c r="L79" s="190">
        <v>377.78</v>
      </c>
      <c r="N79" s="271">
        <f>+((0.2088/264)*1000)*1000000</f>
        <v>790909.09090909094</v>
      </c>
      <c r="O79" s="263" t="s">
        <v>231</v>
      </c>
      <c r="S79" s="267" t="s">
        <v>245</v>
      </c>
      <c r="T79" s="268">
        <v>1.4</v>
      </c>
    </row>
    <row r="80" spans="1:21" ht="23.25" thickBot="1">
      <c r="L80" s="190">
        <f>+P43-L79</f>
        <v>-156.35631317844337</v>
      </c>
      <c r="N80" s="263">
        <f>+N79/N78</f>
        <v>1.4265367982545749</v>
      </c>
      <c r="O80" s="263" t="s">
        <v>233</v>
      </c>
      <c r="S80" s="269" t="s">
        <v>246</v>
      </c>
      <c r="T80" s="270">
        <v>0.3</v>
      </c>
    </row>
    <row r="81" spans="2:20" ht="23.25" thickBot="1">
      <c r="L81" s="190">
        <f>+L80/P43</f>
        <v>-0.70614086244733854</v>
      </c>
      <c r="S81" s="267" t="s">
        <v>247</v>
      </c>
      <c r="T81" s="268">
        <v>1.1000000000000001</v>
      </c>
    </row>
    <row r="82" spans="2:20" ht="16.5" thickBot="1">
      <c r="D82">
        <f>+D41*1000000</f>
        <v>132280064.51612905</v>
      </c>
      <c r="K82" s="59"/>
      <c r="S82" s="269"/>
      <c r="T82" s="270"/>
    </row>
    <row r="83" spans="2:20" ht="45.75" thickBot="1">
      <c r="D83" s="261"/>
      <c r="N83" s="272">
        <v>1069538</v>
      </c>
      <c r="O83" s="263" t="s">
        <v>248</v>
      </c>
      <c r="P83" s="272">
        <v>431826</v>
      </c>
      <c r="Q83" s="191" t="s">
        <v>249</v>
      </c>
      <c r="S83" s="267" t="s">
        <v>237</v>
      </c>
      <c r="T83" s="268">
        <v>1.1000000000000001</v>
      </c>
    </row>
    <row r="84" spans="2:20" ht="16.5" thickBot="1">
      <c r="N84" s="273">
        <f>+((M9*1000000/264)*1000)</f>
        <v>0</v>
      </c>
      <c r="O84" s="263" t="s">
        <v>250</v>
      </c>
      <c r="P84" s="273">
        <f>+((P31*1000000/264)*1000)</f>
        <v>113818363.91468447</v>
      </c>
      <c r="Q84" s="263" t="s">
        <v>250</v>
      </c>
      <c r="S84" s="269"/>
      <c r="T84" s="274"/>
    </row>
    <row r="85" spans="2:20" ht="24" thickTop="1" thickBot="1">
      <c r="N85">
        <f>+N84/N83</f>
        <v>0</v>
      </c>
      <c r="O85" s="263" t="s">
        <v>251</v>
      </c>
      <c r="P85" s="191">
        <f>+P84/P83</f>
        <v>263.57459697814505</v>
      </c>
      <c r="Q85" s="263" t="s">
        <v>251</v>
      </c>
      <c r="S85" s="275" t="s">
        <v>252</v>
      </c>
      <c r="T85" s="276">
        <f>SUM(T74:T83)</f>
        <v>8.3000000000000007</v>
      </c>
    </row>
    <row r="86" spans="2:20">
      <c r="D86" s="52">
        <v>26.523967741935508</v>
      </c>
      <c r="E86" s="52">
        <v>-19.586428571428542</v>
      </c>
      <c r="F86" s="52">
        <v>-29.438645161290253</v>
      </c>
      <c r="G86" s="190">
        <v>10.999533333333375</v>
      </c>
      <c r="H86" s="52">
        <v>-17.147612903225877</v>
      </c>
      <c r="I86" s="52">
        <v>-22.591766666666615</v>
      </c>
      <c r="P86" s="191">
        <f>+P84+((299000/264)*1000)</f>
        <v>114950939.67226022</v>
      </c>
      <c r="Q86">
        <f>+P86/P83</f>
        <v>266.19735650993738</v>
      </c>
    </row>
    <row r="87" spans="2:20">
      <c r="N87" s="272">
        <v>1490000</v>
      </c>
      <c r="O87" s="263" t="s">
        <v>253</v>
      </c>
      <c r="Q87" s="277">
        <f>+Q86/P85-1</f>
        <v>9.9507295538416862E-3</v>
      </c>
    </row>
    <row r="88" spans="2:20">
      <c r="N88" s="273">
        <f>+((P31+P41)*1000000/264)*1000</f>
        <v>354404257.63006413</v>
      </c>
      <c r="O88" s="263" t="s">
        <v>250</v>
      </c>
      <c r="Q88" s="277">
        <f>+P86/P84-1</f>
        <v>9.9507295538416862E-3</v>
      </c>
    </row>
    <row r="89" spans="2:20">
      <c r="I89" s="121"/>
      <c r="N89">
        <f>+N88/N87</f>
        <v>237.85520646313029</v>
      </c>
      <c r="O89" s="263" t="s">
        <v>251</v>
      </c>
    </row>
    <row r="90" spans="2:20">
      <c r="I90" s="121"/>
    </row>
    <row r="91" spans="2:20">
      <c r="B91" s="191"/>
      <c r="C91" s="191"/>
      <c r="D91" s="278"/>
      <c r="I91" s="121"/>
      <c r="K91" s="191"/>
    </row>
    <row r="92" spans="2:20">
      <c r="I92" s="121"/>
      <c r="N92" s="272">
        <v>641218</v>
      </c>
    </row>
    <row r="93" spans="2:20">
      <c r="I93" s="121"/>
      <c r="N93" s="273">
        <f>+((P17+F149)*1000000/264)*1000</f>
        <v>107559518.76677684</v>
      </c>
    </row>
    <row r="94" spans="2:20">
      <c r="B94" s="279">
        <v>340000</v>
      </c>
      <c r="C94" s="279"/>
      <c r="N94" s="121">
        <f>+N93/N92</f>
        <v>167.74251310283998</v>
      </c>
      <c r="S94">
        <v>260</v>
      </c>
      <c r="T94" t="s">
        <v>202</v>
      </c>
    </row>
    <row r="95" spans="2:20">
      <c r="B95" s="279">
        <v>1571428.57</v>
      </c>
      <c r="C95" s="279"/>
      <c r="S95">
        <f>+S94*3</f>
        <v>780</v>
      </c>
    </row>
    <row r="96" spans="2:20">
      <c r="B96" s="279">
        <v>5320002.62</v>
      </c>
      <c r="C96" s="279"/>
      <c r="S96" s="191">
        <f>+S95*60*24</f>
        <v>1123200</v>
      </c>
      <c r="T96" t="s">
        <v>254</v>
      </c>
    </row>
    <row r="97" spans="1:20">
      <c r="B97" s="280">
        <f>SUM(B94:B96)</f>
        <v>7231431.1900000004</v>
      </c>
      <c r="C97" s="280"/>
      <c r="S97" s="121">
        <f>+S96/1000000</f>
        <v>1.1232</v>
      </c>
      <c r="T97" t="s">
        <v>206</v>
      </c>
    </row>
    <row r="98" spans="1:20">
      <c r="B98" s="191">
        <f>+B97*0.8</f>
        <v>5785144.9520000005</v>
      </c>
      <c r="C98" s="191"/>
      <c r="E98" s="1">
        <v>44470</v>
      </c>
      <c r="F98" s="260">
        <v>426.95570967741935</v>
      </c>
      <c r="P98">
        <v>6000</v>
      </c>
      <c r="S98" s="52">
        <f>87.9+S97</f>
        <v>89.023200000000003</v>
      </c>
      <c r="T98" s="277">
        <f>+S97/S98</f>
        <v>1.2616935809991103E-2</v>
      </c>
    </row>
    <row r="99" spans="1:20">
      <c r="B99" s="191">
        <f>+B97-B98</f>
        <v>1446286.2379999999</v>
      </c>
      <c r="C99" s="191"/>
      <c r="E99" s="1">
        <v>44501</v>
      </c>
      <c r="F99" s="281">
        <v>424.65703333333335</v>
      </c>
      <c r="P99" s="191">
        <f>+P98*60*24</f>
        <v>8640000</v>
      </c>
    </row>
    <row r="100" spans="1:20">
      <c r="E100" s="1">
        <v>44531</v>
      </c>
      <c r="F100" s="260">
        <v>425.71451612903229</v>
      </c>
      <c r="P100" s="273">
        <f>+P99*31</f>
        <v>267840000</v>
      </c>
    </row>
    <row r="101" spans="1:20">
      <c r="E101" s="1">
        <v>44562</v>
      </c>
      <c r="F101" s="260">
        <v>416.2</v>
      </c>
    </row>
    <row r="102" spans="1:20">
      <c r="Q102" s="282">
        <v>464349</v>
      </c>
      <c r="R102" s="191">
        <f>+Q104/Q102</f>
        <v>64.710052295744589</v>
      </c>
      <c r="S102">
        <f>+Q106/Q102</f>
        <v>64.913907241055114</v>
      </c>
    </row>
    <row r="104" spans="1:20">
      <c r="Q104" s="191">
        <f>+P31*1000000</f>
        <v>30048048.073476702</v>
      </c>
      <c r="R104" s="22">
        <f>+Q104/Q106</f>
        <v>0.99685961061389317</v>
      </c>
    </row>
    <row r="105" spans="1:20">
      <c r="Q105" s="283">
        <v>94659.839999999997</v>
      </c>
      <c r="R105" s="22">
        <f>+Q105/Q106</f>
        <v>3.1403893861068105E-3</v>
      </c>
    </row>
    <row r="106" spans="1:20">
      <c r="Q106" s="52">
        <f>SUM(Q104:Q105)</f>
        <v>30142707.913476702</v>
      </c>
      <c r="R106">
        <f>+Q105/1000000</f>
        <v>9.4659839999999995E-2</v>
      </c>
    </row>
    <row r="107" spans="1:20">
      <c r="R107" t="s">
        <v>255</v>
      </c>
    </row>
    <row r="110" spans="1:20">
      <c r="A110">
        <v>1393.8</v>
      </c>
      <c r="B110" s="210"/>
      <c r="C110" s="210"/>
    </row>
    <row r="111" spans="1:20">
      <c r="A111">
        <v>-140.9</v>
      </c>
    </row>
    <row r="112" spans="1:20">
      <c r="A112">
        <f>SUM(A110:A111)</f>
        <v>1252.8999999999999</v>
      </c>
    </row>
    <row r="114" spans="8:21">
      <c r="H114" s="922">
        <f>3.88*36*1000000</f>
        <v>139680000</v>
      </c>
      <c r="I114" s="922"/>
      <c r="J114" s="922"/>
      <c r="K114" s="191">
        <f>+H114/14</f>
        <v>9977142.8571428563</v>
      </c>
      <c r="P114" s="284">
        <v>1342656</v>
      </c>
    </row>
    <row r="115" spans="8:21" ht="16.5" thickBot="1">
      <c r="P115" s="284">
        <v>1403136</v>
      </c>
    </row>
    <row r="116" spans="8:21" ht="16.5" thickBot="1">
      <c r="I116" s="191">
        <f>240000*35</f>
        <v>8400000</v>
      </c>
      <c r="N116" s="285">
        <v>15.98</v>
      </c>
      <c r="P116" s="23">
        <f>+P115-P114</f>
        <v>60480</v>
      </c>
    </row>
    <row r="117" spans="8:21" ht="16.5" thickBot="1">
      <c r="N117" s="286">
        <v>0.44</v>
      </c>
    </row>
    <row r="118" spans="8:21">
      <c r="N118">
        <f>SUM(N116:N117)</f>
        <v>16.420000000000002</v>
      </c>
    </row>
    <row r="124" spans="8:21">
      <c r="M124" s="190">
        <v>18.54</v>
      </c>
      <c r="N124" t="s">
        <v>201</v>
      </c>
    </row>
    <row r="125" spans="8:21">
      <c r="M125" s="190">
        <f>+M124/1000</f>
        <v>1.8539999999999997E-2</v>
      </c>
      <c r="N125" t="s">
        <v>256</v>
      </c>
    </row>
    <row r="126" spans="8:21">
      <c r="M126" s="190">
        <f>+M125*264</f>
        <v>4.8945599999999994</v>
      </c>
      <c r="N126" t="s">
        <v>200</v>
      </c>
    </row>
    <row r="127" spans="8:21" ht="16.5" thickBot="1">
      <c r="M127" s="190">
        <f>+M126*60</f>
        <v>293.67359999999996</v>
      </c>
      <c r="N127" t="s">
        <v>202</v>
      </c>
      <c r="U127">
        <v>9</v>
      </c>
    </row>
    <row r="128" spans="8:21" ht="16.5" thickBot="1">
      <c r="O128" s="287">
        <v>6821</v>
      </c>
    </row>
    <row r="129" spans="2:18" ht="16.5" thickBot="1">
      <c r="O129" s="288">
        <v>8308</v>
      </c>
    </row>
    <row r="130" spans="2:18" ht="16.5" thickBot="1">
      <c r="O130" s="288">
        <v>10577</v>
      </c>
    </row>
    <row r="131" spans="2:18" ht="16.5" thickBot="1">
      <c r="O131" s="288">
        <v>5118</v>
      </c>
      <c r="Q131" s="228">
        <v>97804</v>
      </c>
      <c r="R131" s="229">
        <v>42240</v>
      </c>
    </row>
    <row r="132" spans="2:18" ht="16.5" thickBot="1">
      <c r="Q132" s="230">
        <v>109921</v>
      </c>
      <c r="R132" s="231">
        <v>45271</v>
      </c>
    </row>
    <row r="133" spans="2:18" ht="16.5" thickBot="1">
      <c r="Q133" s="232">
        <v>114141</v>
      </c>
      <c r="R133" s="233">
        <v>18608</v>
      </c>
    </row>
    <row r="134" spans="2:18" ht="16.5" thickBot="1">
      <c r="Q134" s="230">
        <v>37118</v>
      </c>
      <c r="R134" s="231">
        <v>5429</v>
      </c>
    </row>
    <row r="135" spans="2:18">
      <c r="D135" t="s">
        <v>257</v>
      </c>
      <c r="Q135" s="23">
        <f>SUM(Q131:Q134)</f>
        <v>358984</v>
      </c>
      <c r="R135" s="23">
        <f>SUM(R131:R134)</f>
        <v>111548</v>
      </c>
    </row>
    <row r="136" spans="2:18">
      <c r="B136" s="923" t="s">
        <v>258</v>
      </c>
      <c r="C136" s="625"/>
      <c r="D136" s="289" t="s">
        <v>213</v>
      </c>
      <c r="E136" s="290" t="s">
        <v>259</v>
      </c>
      <c r="F136" s="290" t="s">
        <v>211</v>
      </c>
      <c r="G136" s="291" t="s">
        <v>212</v>
      </c>
      <c r="H136" s="292" t="s">
        <v>260</v>
      </c>
    </row>
    <row r="137" spans="2:18">
      <c r="B137" s="923"/>
      <c r="C137" s="625"/>
      <c r="D137" s="293">
        <v>0.01</v>
      </c>
      <c r="E137" s="294">
        <v>0</v>
      </c>
      <c r="F137" s="294">
        <v>0.45</v>
      </c>
      <c r="G137" s="257">
        <v>0.54</v>
      </c>
      <c r="H137" s="294">
        <f>SUM(D137:G137)</f>
        <v>1</v>
      </c>
      <c r="J137" t="s">
        <v>213</v>
      </c>
      <c r="K137" s="65" t="s">
        <v>259</v>
      </c>
      <c r="L137" s="190" t="s">
        <v>211</v>
      </c>
      <c r="M137" s="190" t="s">
        <v>212</v>
      </c>
    </row>
    <row r="138" spans="2:18">
      <c r="B138" s="295" t="s">
        <v>117</v>
      </c>
      <c r="C138" s="295"/>
      <c r="D138" s="296">
        <f>+D$9*$D$137</f>
        <v>1.4737409677419353</v>
      </c>
      <c r="E138" s="297">
        <f>+D$9*$E$137</f>
        <v>0</v>
      </c>
      <c r="F138" s="296">
        <f>+$D$9*$F$137</f>
        <v>66.318343548387091</v>
      </c>
      <c r="G138" s="298">
        <f>+$D$9*$G$137</f>
        <v>79.582012258064509</v>
      </c>
      <c r="H138" s="297">
        <f>SUM(D138:G138)</f>
        <v>147.37409677419353</v>
      </c>
      <c r="I138" s="52">
        <f>+$H138-D$9</f>
        <v>0</v>
      </c>
      <c r="J138" s="299">
        <f>D31+D138</f>
        <v>60.555611935483867</v>
      </c>
      <c r="K138" s="300">
        <f>D41</f>
        <v>132.28006451612904</v>
      </c>
      <c r="L138" s="253">
        <f>D17+F138</f>
        <v>125.35298870967742</v>
      </c>
      <c r="M138" s="253">
        <f>D23+G138</f>
        <v>136.08830258064515</v>
      </c>
    </row>
    <row r="139" spans="2:18">
      <c r="B139" s="295" t="s">
        <v>118</v>
      </c>
      <c r="C139" s="295"/>
      <c r="D139" s="301">
        <f>+E$9*$D$137</f>
        <v>1.4539978571428571</v>
      </c>
      <c r="E139" s="297">
        <f>+E$9*$E$137</f>
        <v>0</v>
      </c>
      <c r="F139" s="296">
        <f>+E$9*$F$137</f>
        <v>65.429903571428568</v>
      </c>
      <c r="G139" s="296">
        <f>+E$9*$G$137</f>
        <v>78.515884285714293</v>
      </c>
      <c r="H139" s="297">
        <f>SUM(D139:G139)</f>
        <v>145.39978571428571</v>
      </c>
      <c r="I139" s="52">
        <f>+$H139-E$9</f>
        <v>0</v>
      </c>
      <c r="J139" s="302">
        <f>E31+D139</f>
        <v>62.401747857142873</v>
      </c>
      <c r="K139" s="300">
        <f>E41</f>
        <v>134.54274999999998</v>
      </c>
      <c r="L139" s="253">
        <f>E17+F139</f>
        <v>124.04833214285713</v>
      </c>
      <c r="M139" s="253">
        <f>E23+G139</f>
        <v>135.53799142857144</v>
      </c>
    </row>
    <row r="140" spans="2:18">
      <c r="B140" s="295" t="s">
        <v>119</v>
      </c>
      <c r="C140" s="295"/>
      <c r="D140" s="301">
        <f>+F$9*$D$137</f>
        <v>1.4330929032258064</v>
      </c>
      <c r="E140" s="297">
        <f>+F$9*$E$137</f>
        <v>0</v>
      </c>
      <c r="F140" s="301">
        <f>+F$9*$F$137</f>
        <v>64.489180645161284</v>
      </c>
      <c r="G140" s="301">
        <f>+F$9*$G$137</f>
        <v>77.387016774193555</v>
      </c>
      <c r="H140" s="297">
        <f>SUM(D140:G140)</f>
        <v>143.30929032258064</v>
      </c>
      <c r="I140" s="52">
        <f>+$H140-F$9</f>
        <v>0</v>
      </c>
      <c r="J140" s="302">
        <f>F31+D140</f>
        <v>65.499254193548396</v>
      </c>
      <c r="K140" s="295"/>
      <c r="L140" s="253"/>
      <c r="M140" s="253"/>
    </row>
    <row r="141" spans="2:18">
      <c r="B141" s="295" t="s">
        <v>120</v>
      </c>
      <c r="C141" s="295"/>
      <c r="D141" s="301">
        <f>+G$9*$D$137</f>
        <v>1.4113923333333334</v>
      </c>
      <c r="E141" s="297">
        <f>+G$9*$E$137</f>
        <v>0</v>
      </c>
      <c r="F141" s="301">
        <f>+G$9*$F$137</f>
        <v>63.512654999999995</v>
      </c>
      <c r="G141" s="301">
        <f>+G$9*$G$137</f>
        <v>76.215186000000003</v>
      </c>
      <c r="H141" s="297">
        <f>SUM(D141:G141)</f>
        <v>141.13923333333332</v>
      </c>
      <c r="I141" s="52">
        <f>+$H141-G$9</f>
        <v>0</v>
      </c>
      <c r="J141" s="295"/>
      <c r="K141" s="295"/>
      <c r="L141" s="253"/>
      <c r="M141" s="253"/>
    </row>
    <row r="142" spans="2:18">
      <c r="B142" s="295" t="s">
        <v>121</v>
      </c>
      <c r="C142" s="295"/>
      <c r="D142" s="296">
        <f>+H$9*$D$137</f>
        <v>1.4412235483870968</v>
      </c>
      <c r="E142" s="297">
        <f>+H$9*$E$137</f>
        <v>0</v>
      </c>
      <c r="F142" s="303">
        <f>+H$9*$F$137</f>
        <v>64.855059677419348</v>
      </c>
      <c r="G142" s="303">
        <f>+H$9*$G$137</f>
        <v>77.82607161290322</v>
      </c>
      <c r="H142" s="297">
        <f t="shared" ref="H142:H147" si="18">SUM(D142:G142)</f>
        <v>144.12235483870967</v>
      </c>
      <c r="I142" s="52">
        <f>+$H142-H$9</f>
        <v>0</v>
      </c>
      <c r="J142" s="295"/>
      <c r="K142" s="295"/>
      <c r="L142" s="253"/>
      <c r="M142" s="253"/>
    </row>
    <row r="143" spans="2:18">
      <c r="B143" s="295" t="s">
        <v>122</v>
      </c>
      <c r="C143" s="295"/>
      <c r="D143" s="296">
        <f>+I$9*$D$137</f>
        <v>1.4847440000000001</v>
      </c>
      <c r="E143" s="297">
        <f>+I$9*$E$137</f>
        <v>0</v>
      </c>
      <c r="F143" s="296">
        <f>+I$9*$F$137</f>
        <v>66.813479999999998</v>
      </c>
      <c r="G143" s="304">
        <f>+I$9*$G$137</f>
        <v>80.176176000000012</v>
      </c>
      <c r="H143" s="297">
        <f t="shared" si="18"/>
        <v>148.4744</v>
      </c>
      <c r="I143" s="52">
        <f>+$H143-I$9</f>
        <v>0</v>
      </c>
      <c r="J143" s="295"/>
      <c r="K143" s="295"/>
      <c r="L143" s="253"/>
      <c r="M143" s="253"/>
    </row>
    <row r="144" spans="2:18">
      <c r="B144" s="295" t="s">
        <v>123</v>
      </c>
      <c r="C144" s="295"/>
      <c r="D144" s="296">
        <f>+J$9*$D$137</f>
        <v>0</v>
      </c>
      <c r="E144" s="297">
        <f>+J$9*$E$137</f>
        <v>0</v>
      </c>
      <c r="F144" s="296">
        <f>+J$9*$F$137</f>
        <v>0</v>
      </c>
      <c r="G144" s="296">
        <f>+J$9*$G$137</f>
        <v>0</v>
      </c>
      <c r="H144" s="297">
        <f t="shared" si="18"/>
        <v>0</v>
      </c>
      <c r="I144" s="52">
        <f>+$H144-J$9</f>
        <v>0</v>
      </c>
      <c r="J144" s="295"/>
      <c r="K144" s="295"/>
      <c r="L144" s="253"/>
      <c r="M144" s="253"/>
    </row>
    <row r="145" spans="2:19">
      <c r="B145" s="295" t="s">
        <v>124</v>
      </c>
      <c r="C145" s="295"/>
      <c r="D145" s="296">
        <f>+K$9*$D$137</f>
        <v>0</v>
      </c>
      <c r="E145" s="297">
        <f>+K$9*$E$137</f>
        <v>0</v>
      </c>
      <c r="F145" s="296">
        <f>+K$9*$F$137</f>
        <v>0</v>
      </c>
      <c r="G145" s="305">
        <f>+K$9*$G$137</f>
        <v>0</v>
      </c>
      <c r="H145" s="297">
        <f t="shared" si="18"/>
        <v>0</v>
      </c>
      <c r="I145" s="52">
        <f>+$H145-K$9</f>
        <v>0</v>
      </c>
      <c r="J145" s="295"/>
      <c r="K145" s="295"/>
      <c r="L145" s="253"/>
      <c r="M145" s="253"/>
    </row>
    <row r="146" spans="2:19">
      <c r="B146" s="295" t="s">
        <v>125</v>
      </c>
      <c r="C146" s="295"/>
      <c r="D146" s="306">
        <f>+L$9*$D$137</f>
        <v>0</v>
      </c>
      <c r="E146" s="297">
        <f>+L$9*$E$137</f>
        <v>0</v>
      </c>
      <c r="F146" s="306">
        <f>+L$9*$F$137</f>
        <v>0</v>
      </c>
      <c r="G146" s="306">
        <f>+L$9*$G$137</f>
        <v>0</v>
      </c>
      <c r="H146" s="297">
        <f t="shared" si="18"/>
        <v>0</v>
      </c>
      <c r="I146" s="52">
        <f>+$H146-L$9</f>
        <v>0</v>
      </c>
      <c r="J146" s="295"/>
      <c r="K146" s="295"/>
      <c r="L146" s="253"/>
      <c r="M146" s="253"/>
    </row>
    <row r="147" spans="2:19">
      <c r="B147" s="295" t="s">
        <v>126</v>
      </c>
      <c r="C147" s="295"/>
      <c r="D147" s="306">
        <f>+M$9*$D$137</f>
        <v>0</v>
      </c>
      <c r="E147" s="297">
        <f>+M$9*$E$137</f>
        <v>0</v>
      </c>
      <c r="F147" s="306">
        <f>+M$9*$F$137</f>
        <v>0</v>
      </c>
      <c r="G147" s="306">
        <f>+M$9*$G$137</f>
        <v>0</v>
      </c>
      <c r="H147" s="297">
        <f t="shared" si="18"/>
        <v>0</v>
      </c>
      <c r="I147" s="52">
        <f>+$H147-M$9</f>
        <v>0</v>
      </c>
      <c r="J147" s="295"/>
      <c r="K147" s="295"/>
      <c r="L147" s="253"/>
      <c r="M147" s="253"/>
    </row>
    <row r="148" spans="2:19">
      <c r="B148" s="295" t="s">
        <v>127</v>
      </c>
      <c r="C148" s="295"/>
      <c r="D148" s="296">
        <f>+N$9*$D$137</f>
        <v>0</v>
      </c>
      <c r="E148" s="297">
        <f>+N$9*$E$137</f>
        <v>0</v>
      </c>
      <c r="F148" s="296">
        <f>+N$9*$F$137</f>
        <v>0</v>
      </c>
      <c r="G148" s="296">
        <f>+N9*$G$137</f>
        <v>0</v>
      </c>
      <c r="H148" s="297">
        <f>SUM(D148:G148)</f>
        <v>0</v>
      </c>
      <c r="I148" s="52">
        <f>+$H148-N$9</f>
        <v>0</v>
      </c>
      <c r="J148" s="295"/>
      <c r="K148" s="295"/>
      <c r="L148" s="253"/>
      <c r="M148" s="253"/>
    </row>
    <row r="149" spans="2:19">
      <c r="B149" s="295" t="s">
        <v>128</v>
      </c>
      <c r="C149" s="295"/>
      <c r="D149" s="307">
        <f>+O$9*$D$137</f>
        <v>0</v>
      </c>
      <c r="E149" s="308">
        <f>+O$9*$E$137</f>
        <v>0</v>
      </c>
      <c r="F149" s="307">
        <f>+O$9*$F$137</f>
        <v>0</v>
      </c>
      <c r="G149" s="306">
        <f>+O$9*$G$137</f>
        <v>0</v>
      </c>
      <c r="H149" s="297">
        <f>SUM(D149:G149)</f>
        <v>0</v>
      </c>
      <c r="I149" s="52">
        <f>+$H149-O$9</f>
        <v>0</v>
      </c>
      <c r="J149" s="295"/>
      <c r="K149" s="295"/>
      <c r="L149" s="253"/>
      <c r="M149" s="253"/>
    </row>
    <row r="150" spans="2:19">
      <c r="D150" s="309">
        <f>AVERAGE(D138:D149)</f>
        <v>0.72484930081925236</v>
      </c>
      <c r="E150" s="309">
        <f>AVERAGE(E138:E149)</f>
        <v>0</v>
      </c>
      <c r="F150" s="309">
        <f>AVERAGE(F138:F149)</f>
        <v>32.618218536866358</v>
      </c>
      <c r="G150" s="309">
        <f>AVERAGE(G138:G149)</f>
        <v>39.141862244239633</v>
      </c>
      <c r="H150" s="309">
        <f>AVERAGE(H138:H149)</f>
        <v>72.484930081925242</v>
      </c>
    </row>
    <row r="152" spans="2:19">
      <c r="J152" s="52"/>
    </row>
    <row r="155" spans="2:19">
      <c r="J155">
        <v>41.95</v>
      </c>
    </row>
    <row r="156" spans="2:19">
      <c r="D156" s="52"/>
      <c r="J156">
        <v>21.66</v>
      </c>
      <c r="M156" s="190">
        <f>+L156*86400</f>
        <v>0</v>
      </c>
    </row>
    <row r="157" spans="2:19">
      <c r="J157">
        <f>+J155-J156</f>
        <v>20.290000000000003</v>
      </c>
    </row>
    <row r="158" spans="2:19">
      <c r="J158" s="191">
        <f>+J157/22.827</f>
        <v>0.88885968370788981</v>
      </c>
    </row>
    <row r="159" spans="2:19">
      <c r="N159" s="273">
        <f>+P160/22.827</f>
        <v>11640093.932004549</v>
      </c>
      <c r="P159" s="74">
        <f>AVERAGE(D43:M43)</f>
        <v>265.70842418586784</v>
      </c>
      <c r="Q159" t="s">
        <v>206</v>
      </c>
    </row>
    <row r="160" spans="2:19">
      <c r="J160" s="310">
        <v>529390</v>
      </c>
      <c r="N160" s="273">
        <f>+N159*1000</f>
        <v>11640093932.004549</v>
      </c>
      <c r="P160" s="191">
        <f>+P159*1000000</f>
        <v>265708424.18586785</v>
      </c>
      <c r="Q160" t="s">
        <v>261</v>
      </c>
      <c r="R160" s="191">
        <f>+P160/3294850</f>
        <v>80.643557122742422</v>
      </c>
      <c r="S160" t="s">
        <v>262</v>
      </c>
    </row>
    <row r="161" spans="10:19">
      <c r="J161">
        <f>+J160*1.0295</f>
        <v>545007.005</v>
      </c>
      <c r="N161" s="191"/>
      <c r="P161" s="311">
        <f>+P159/86400</f>
        <v>3.0753289836327295E-3</v>
      </c>
      <c r="Q161" t="s">
        <v>263</v>
      </c>
      <c r="R161">
        <f>+R160/264</f>
        <v>0.30546801940432733</v>
      </c>
      <c r="S161" t="s">
        <v>264</v>
      </c>
    </row>
    <row r="162" spans="10:19">
      <c r="J162">
        <f>+J160*79.25</f>
        <v>41954157.5</v>
      </c>
      <c r="N162" s="273">
        <f>+N160/3294850</f>
        <v>3532.8145232725465</v>
      </c>
      <c r="P162" s="311">
        <f>+P161/264</f>
        <v>1.1648973422851249E-5</v>
      </c>
      <c r="Q162" t="s">
        <v>195</v>
      </c>
      <c r="R162">
        <f>+R161*1000</f>
        <v>305.46801940432732</v>
      </c>
      <c r="S162" t="s">
        <v>265</v>
      </c>
    </row>
    <row r="163" spans="10:19">
      <c r="J163">
        <f>+J162/1000000</f>
        <v>41.954157500000001</v>
      </c>
      <c r="N163" s="273"/>
      <c r="P163" s="311">
        <f>+P162*1000</f>
        <v>1.1648973422851249E-2</v>
      </c>
      <c r="Q163" t="s">
        <v>266</v>
      </c>
    </row>
    <row r="164" spans="10:19">
      <c r="J164">
        <f>+J163/22.827</f>
        <v>1.8379181451789546</v>
      </c>
      <c r="P164" s="311"/>
      <c r="R164">
        <v>250</v>
      </c>
    </row>
    <row r="165" spans="10:19">
      <c r="R165">
        <f>+R162/R164-1</f>
        <v>0.22187207761730932</v>
      </c>
    </row>
    <row r="166" spans="10:19">
      <c r="P166">
        <f>+P160/3294850</f>
        <v>80.643557122742422</v>
      </c>
      <c r="Q166" t="s">
        <v>267</v>
      </c>
    </row>
    <row r="167" spans="10:19">
      <c r="P167">
        <f>+P166*30</f>
        <v>2419.3067136822729</v>
      </c>
      <c r="Q167" t="s">
        <v>268</v>
      </c>
    </row>
    <row r="168" spans="10:19">
      <c r="P168" s="191">
        <f>+P167/264</f>
        <v>9.1640405821298216</v>
      </c>
      <c r="Q168" t="s">
        <v>269</v>
      </c>
    </row>
    <row r="169" spans="10:19">
      <c r="P169">
        <f>+P168*1000</f>
        <v>9164.0405821298209</v>
      </c>
      <c r="Q169" t="s">
        <v>270</v>
      </c>
    </row>
    <row r="171" spans="10:19">
      <c r="P171">
        <f>+P166/264</f>
        <v>0.30546801940432733</v>
      </c>
      <c r="Q171" t="s">
        <v>271</v>
      </c>
    </row>
    <row r="172" spans="10:19">
      <c r="P172">
        <f>+P171*1000</f>
        <v>305.46801940432732</v>
      </c>
    </row>
    <row r="176" spans="10:19">
      <c r="P176">
        <v>20.63</v>
      </c>
      <c r="Q176" t="s">
        <v>266</v>
      </c>
      <c r="R176" s="191">
        <f>+P176*86400</f>
        <v>1782432</v>
      </c>
      <c r="S176" t="s">
        <v>250</v>
      </c>
    </row>
    <row r="177" spans="16:19">
      <c r="P177">
        <f>+P176/1000</f>
        <v>2.0629999999999999E-2</v>
      </c>
      <c r="Q177" t="s">
        <v>195</v>
      </c>
      <c r="R177" s="191">
        <f>+R176/11000</f>
        <v>162.03927272727273</v>
      </c>
      <c r="S177" t="s">
        <v>272</v>
      </c>
    </row>
    <row r="178" spans="16:19">
      <c r="P178">
        <f>+P177*22.827</f>
        <v>0.47092101000000003</v>
      </c>
      <c r="Q178" t="s">
        <v>206</v>
      </c>
      <c r="R178">
        <f>+R177/1000</f>
        <v>0.16203927272727273</v>
      </c>
      <c r="S178" t="s">
        <v>273</v>
      </c>
    </row>
    <row r="179" spans="16:19">
      <c r="P179" s="191">
        <f>+P178*1000000</f>
        <v>470921.01</v>
      </c>
      <c r="R179">
        <f>+R178*264</f>
        <v>42.778368</v>
      </c>
    </row>
    <row r="182" spans="16:19">
      <c r="R182">
        <f>250/1000</f>
        <v>0.25</v>
      </c>
    </row>
    <row r="183" spans="16:19">
      <c r="R183">
        <f>+R182*264</f>
        <v>66</v>
      </c>
    </row>
    <row r="185" spans="16:19">
      <c r="R185">
        <v>1403136</v>
      </c>
    </row>
    <row r="186" spans="16:19">
      <c r="R186" s="52">
        <f>+'[2]DATOS PARA INFORME ONE 2019'!AC36</f>
        <v>3876305.7989463536</v>
      </c>
    </row>
    <row r="187" spans="16:19">
      <c r="R187" s="52">
        <f>+R185/R186</f>
        <v>0.36197763354516471</v>
      </c>
      <c r="S187" t="s">
        <v>274</v>
      </c>
    </row>
    <row r="188" spans="16:19">
      <c r="R188">
        <v>116</v>
      </c>
      <c r="S188" t="s">
        <v>275</v>
      </c>
    </row>
    <row r="189" spans="16:19">
      <c r="R189">
        <f>+R188*6</f>
        <v>696</v>
      </c>
      <c r="S189" t="s">
        <v>276</v>
      </c>
    </row>
    <row r="190" spans="16:19">
      <c r="R190" s="191"/>
    </row>
    <row r="244" spans="18:19">
      <c r="R244">
        <v>15.54</v>
      </c>
      <c r="S244">
        <f>+R244/22.827</f>
        <v>0.68077276908923634</v>
      </c>
    </row>
    <row r="245" spans="18:19">
      <c r="R245">
        <v>15.52</v>
      </c>
      <c r="S245">
        <f>+R245/22.827</f>
        <v>0.67989661365926313</v>
      </c>
    </row>
    <row r="246" spans="18:19">
      <c r="R246">
        <f>+R244/R245-1</f>
        <v>1.2886597938144284E-3</v>
      </c>
      <c r="S246">
        <f>+S244-S245</f>
        <v>8.7615542997321327E-4</v>
      </c>
    </row>
    <row r="254" spans="18:19">
      <c r="R254">
        <v>0.44</v>
      </c>
    </row>
    <row r="255" spans="18:19">
      <c r="R255" s="121">
        <f>+R254*22.827</f>
        <v>10.043880000000001</v>
      </c>
    </row>
    <row r="261" spans="18:19">
      <c r="R261">
        <v>354.79</v>
      </c>
      <c r="S261">
        <f>+R261/22.827</f>
        <v>15.542559250010951</v>
      </c>
    </row>
    <row r="262" spans="18:19">
      <c r="R262">
        <v>370.75</v>
      </c>
      <c r="S262">
        <f>+R262/22.827</f>
        <v>16.241731283129624</v>
      </c>
    </row>
    <row r="263" spans="18:19">
      <c r="R263" s="190">
        <f>+R262/R261-1</f>
        <v>4.4984356943543968E-2</v>
      </c>
      <c r="S263">
        <f>+R263/22.827</f>
        <v>1.9706644299971069E-3</v>
      </c>
    </row>
  </sheetData>
  <mergeCells count="22">
    <mergeCell ref="A47:B47"/>
    <mergeCell ref="A1:P1"/>
    <mergeCell ref="A2:P2"/>
    <mergeCell ref="A4:P4"/>
    <mergeCell ref="A5:P5"/>
    <mergeCell ref="A6:P6"/>
    <mergeCell ref="A8:B8"/>
    <mergeCell ref="A10:A16"/>
    <mergeCell ref="A19:A21"/>
    <mergeCell ref="A25:A30"/>
    <mergeCell ref="A34:A38"/>
    <mergeCell ref="A43:B43"/>
    <mergeCell ref="A56:B56"/>
    <mergeCell ref="O69:P69"/>
    <mergeCell ref="H114:J114"/>
    <mergeCell ref="B136:B137"/>
    <mergeCell ref="A50:B50"/>
    <mergeCell ref="A51:B51"/>
    <mergeCell ref="A52:B52"/>
    <mergeCell ref="A53:B53"/>
    <mergeCell ref="A54:B54"/>
    <mergeCell ref="A55:B55"/>
  </mergeCell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F671C-274F-47D7-834F-BA4486A03F5F}">
  <sheetPr codeName="Hoja15">
    <tabColor rgb="FFFFFF00"/>
  </sheetPr>
  <dimension ref="A1:W128"/>
  <sheetViews>
    <sheetView showGridLines="0" topLeftCell="A27" zoomScale="70" zoomScaleNormal="70" workbookViewId="0">
      <selection activeCell="E42" sqref="E42"/>
    </sheetView>
  </sheetViews>
  <sheetFormatPr baseColWidth="10" defaultColWidth="8.25" defaultRowHeight="15.75"/>
  <cols>
    <col min="2" max="2" width="19.875" customWidth="1"/>
    <col min="3" max="3" width="25" customWidth="1"/>
    <col min="4" max="4" width="15.125" customWidth="1"/>
    <col min="5" max="5" width="13.125" bestFit="1" customWidth="1"/>
    <col min="6" max="6" width="15.375" customWidth="1"/>
    <col min="7" max="7" width="11.625" customWidth="1"/>
    <col min="8" max="10" width="10" customWidth="1"/>
    <col min="11" max="11" width="55.75" customWidth="1"/>
    <col min="12" max="12" width="9" customWidth="1"/>
    <col min="13" max="13" width="9" bestFit="1" customWidth="1"/>
    <col min="14" max="14" width="12.625" customWidth="1"/>
    <col min="15" max="15" width="10" customWidth="1"/>
    <col min="16" max="16" width="11.75" customWidth="1"/>
    <col min="17" max="17" width="9.625" customWidth="1"/>
    <col min="18" max="18" width="16.625" customWidth="1"/>
    <col min="19" max="19" width="11.75" customWidth="1"/>
    <col min="20" max="20" width="14.25" customWidth="1"/>
    <col min="21" max="21" width="9.875" customWidth="1"/>
    <col min="22" max="22" width="13.5" customWidth="1"/>
    <col min="23" max="23" width="11.125" customWidth="1"/>
    <col min="258" max="258" width="25" customWidth="1"/>
    <col min="259" max="259" width="14.375" customWidth="1"/>
    <col min="260" max="260" width="16.125" customWidth="1"/>
    <col min="261" max="261" width="15.375" customWidth="1"/>
    <col min="262" max="262" width="11.5" bestFit="1" customWidth="1"/>
    <col min="263" max="267" width="10" customWidth="1"/>
    <col min="268" max="268" width="8.75" customWidth="1"/>
    <col min="269" max="269" width="10" customWidth="1"/>
    <col min="270" max="270" width="12.625" customWidth="1"/>
    <col min="271" max="271" width="10" customWidth="1"/>
    <col min="272" max="272" width="11.75" customWidth="1"/>
    <col min="273" max="273" width="9.625" customWidth="1"/>
    <col min="274" max="274" width="16.625" customWidth="1"/>
    <col min="275" max="275" width="11.75" customWidth="1"/>
    <col min="514" max="514" width="25" customWidth="1"/>
    <col min="515" max="515" width="14.375" customWidth="1"/>
    <col min="516" max="516" width="16.125" customWidth="1"/>
    <col min="517" max="517" width="15.375" customWidth="1"/>
    <col min="518" max="518" width="11.5" bestFit="1" customWidth="1"/>
    <col min="519" max="523" width="10" customWidth="1"/>
    <col min="524" max="524" width="8.75" customWidth="1"/>
    <col min="525" max="525" width="10" customWidth="1"/>
    <col min="526" max="526" width="12.625" customWidth="1"/>
    <col min="527" max="527" width="10" customWidth="1"/>
    <col min="528" max="528" width="11.75" customWidth="1"/>
    <col min="529" max="529" width="9.625" customWidth="1"/>
    <col min="530" max="530" width="16.625" customWidth="1"/>
    <col min="531" max="531" width="11.75" customWidth="1"/>
    <col min="770" max="770" width="25" customWidth="1"/>
    <col min="771" max="771" width="14.375" customWidth="1"/>
    <col min="772" max="772" width="16.125" customWidth="1"/>
    <col min="773" max="773" width="15.375" customWidth="1"/>
    <col min="774" max="774" width="11.5" bestFit="1" customWidth="1"/>
    <col min="775" max="779" width="10" customWidth="1"/>
    <col min="780" max="780" width="8.75" customWidth="1"/>
    <col min="781" max="781" width="10" customWidth="1"/>
    <col min="782" max="782" width="12.625" customWidth="1"/>
    <col min="783" max="783" width="10" customWidth="1"/>
    <col min="784" max="784" width="11.75" customWidth="1"/>
    <col min="785" max="785" width="9.625" customWidth="1"/>
    <col min="786" max="786" width="16.625" customWidth="1"/>
    <col min="787" max="787" width="11.75" customWidth="1"/>
    <col min="1026" max="1026" width="25" customWidth="1"/>
    <col min="1027" max="1027" width="14.375" customWidth="1"/>
    <col min="1028" max="1028" width="16.125" customWidth="1"/>
    <col min="1029" max="1029" width="15.375" customWidth="1"/>
    <col min="1030" max="1030" width="11.5" bestFit="1" customWidth="1"/>
    <col min="1031" max="1035" width="10" customWidth="1"/>
    <col min="1036" max="1036" width="8.75" customWidth="1"/>
    <col min="1037" max="1037" width="10" customWidth="1"/>
    <col min="1038" max="1038" width="12.625" customWidth="1"/>
    <col min="1039" max="1039" width="10" customWidth="1"/>
    <col min="1040" max="1040" width="11.75" customWidth="1"/>
    <col min="1041" max="1041" width="9.625" customWidth="1"/>
    <col min="1042" max="1042" width="16.625" customWidth="1"/>
    <col min="1043" max="1043" width="11.75" customWidth="1"/>
    <col min="1282" max="1282" width="25" customWidth="1"/>
    <col min="1283" max="1283" width="14.375" customWidth="1"/>
    <col min="1284" max="1284" width="16.125" customWidth="1"/>
    <col min="1285" max="1285" width="15.375" customWidth="1"/>
    <col min="1286" max="1286" width="11.5" bestFit="1" customWidth="1"/>
    <col min="1287" max="1291" width="10" customWidth="1"/>
    <col min="1292" max="1292" width="8.75" customWidth="1"/>
    <col min="1293" max="1293" width="10" customWidth="1"/>
    <col min="1294" max="1294" width="12.625" customWidth="1"/>
    <col min="1295" max="1295" width="10" customWidth="1"/>
    <col min="1296" max="1296" width="11.75" customWidth="1"/>
    <col min="1297" max="1297" width="9.625" customWidth="1"/>
    <col min="1298" max="1298" width="16.625" customWidth="1"/>
    <col min="1299" max="1299" width="11.75" customWidth="1"/>
    <col min="1538" max="1538" width="25" customWidth="1"/>
    <col min="1539" max="1539" width="14.375" customWidth="1"/>
    <col min="1540" max="1540" width="16.125" customWidth="1"/>
    <col min="1541" max="1541" width="15.375" customWidth="1"/>
    <col min="1542" max="1542" width="11.5" bestFit="1" customWidth="1"/>
    <col min="1543" max="1547" width="10" customWidth="1"/>
    <col min="1548" max="1548" width="8.75" customWidth="1"/>
    <col min="1549" max="1549" width="10" customWidth="1"/>
    <col min="1550" max="1550" width="12.625" customWidth="1"/>
    <col min="1551" max="1551" width="10" customWidth="1"/>
    <col min="1552" max="1552" width="11.75" customWidth="1"/>
    <col min="1553" max="1553" width="9.625" customWidth="1"/>
    <col min="1554" max="1554" width="16.625" customWidth="1"/>
    <col min="1555" max="1555" width="11.75" customWidth="1"/>
    <col min="1794" max="1794" width="25" customWidth="1"/>
    <col min="1795" max="1795" width="14.375" customWidth="1"/>
    <col min="1796" max="1796" width="16.125" customWidth="1"/>
    <col min="1797" max="1797" width="15.375" customWidth="1"/>
    <col min="1798" max="1798" width="11.5" bestFit="1" customWidth="1"/>
    <col min="1799" max="1803" width="10" customWidth="1"/>
    <col min="1804" max="1804" width="8.75" customWidth="1"/>
    <col min="1805" max="1805" width="10" customWidth="1"/>
    <col min="1806" max="1806" width="12.625" customWidth="1"/>
    <col min="1807" max="1807" width="10" customWidth="1"/>
    <col min="1808" max="1808" width="11.75" customWidth="1"/>
    <col min="1809" max="1809" width="9.625" customWidth="1"/>
    <col min="1810" max="1810" width="16.625" customWidth="1"/>
    <col min="1811" max="1811" width="11.75" customWidth="1"/>
    <col min="2050" max="2050" width="25" customWidth="1"/>
    <col min="2051" max="2051" width="14.375" customWidth="1"/>
    <col min="2052" max="2052" width="16.125" customWidth="1"/>
    <col min="2053" max="2053" width="15.375" customWidth="1"/>
    <col min="2054" max="2054" width="11.5" bestFit="1" customWidth="1"/>
    <col min="2055" max="2059" width="10" customWidth="1"/>
    <col min="2060" max="2060" width="8.75" customWidth="1"/>
    <col min="2061" max="2061" width="10" customWidth="1"/>
    <col min="2062" max="2062" width="12.625" customWidth="1"/>
    <col min="2063" max="2063" width="10" customWidth="1"/>
    <col min="2064" max="2064" width="11.75" customWidth="1"/>
    <col min="2065" max="2065" width="9.625" customWidth="1"/>
    <col min="2066" max="2066" width="16.625" customWidth="1"/>
    <col min="2067" max="2067" width="11.75" customWidth="1"/>
    <col min="2306" max="2306" width="25" customWidth="1"/>
    <col min="2307" max="2307" width="14.375" customWidth="1"/>
    <col min="2308" max="2308" width="16.125" customWidth="1"/>
    <col min="2309" max="2309" width="15.375" customWidth="1"/>
    <col min="2310" max="2310" width="11.5" bestFit="1" customWidth="1"/>
    <col min="2311" max="2315" width="10" customWidth="1"/>
    <col min="2316" max="2316" width="8.75" customWidth="1"/>
    <col min="2317" max="2317" width="10" customWidth="1"/>
    <col min="2318" max="2318" width="12.625" customWidth="1"/>
    <col min="2319" max="2319" width="10" customWidth="1"/>
    <col min="2320" max="2320" width="11.75" customWidth="1"/>
    <col min="2321" max="2321" width="9.625" customWidth="1"/>
    <col min="2322" max="2322" width="16.625" customWidth="1"/>
    <col min="2323" max="2323" width="11.75" customWidth="1"/>
    <col min="2562" max="2562" width="25" customWidth="1"/>
    <col min="2563" max="2563" width="14.375" customWidth="1"/>
    <col min="2564" max="2564" width="16.125" customWidth="1"/>
    <col min="2565" max="2565" width="15.375" customWidth="1"/>
    <col min="2566" max="2566" width="11.5" bestFit="1" customWidth="1"/>
    <col min="2567" max="2571" width="10" customWidth="1"/>
    <col min="2572" max="2572" width="8.75" customWidth="1"/>
    <col min="2573" max="2573" width="10" customWidth="1"/>
    <col min="2574" max="2574" width="12.625" customWidth="1"/>
    <col min="2575" max="2575" width="10" customWidth="1"/>
    <col min="2576" max="2576" width="11.75" customWidth="1"/>
    <col min="2577" max="2577" width="9.625" customWidth="1"/>
    <col min="2578" max="2578" width="16.625" customWidth="1"/>
    <col min="2579" max="2579" width="11.75" customWidth="1"/>
    <col min="2818" max="2818" width="25" customWidth="1"/>
    <col min="2819" max="2819" width="14.375" customWidth="1"/>
    <col min="2820" max="2820" width="16.125" customWidth="1"/>
    <col min="2821" max="2821" width="15.375" customWidth="1"/>
    <col min="2822" max="2822" width="11.5" bestFit="1" customWidth="1"/>
    <col min="2823" max="2827" width="10" customWidth="1"/>
    <col min="2828" max="2828" width="8.75" customWidth="1"/>
    <col min="2829" max="2829" width="10" customWidth="1"/>
    <col min="2830" max="2830" width="12.625" customWidth="1"/>
    <col min="2831" max="2831" width="10" customWidth="1"/>
    <col min="2832" max="2832" width="11.75" customWidth="1"/>
    <col min="2833" max="2833" width="9.625" customWidth="1"/>
    <col min="2834" max="2834" width="16.625" customWidth="1"/>
    <col min="2835" max="2835" width="11.75" customWidth="1"/>
    <col min="3074" max="3074" width="25" customWidth="1"/>
    <col min="3075" max="3075" width="14.375" customWidth="1"/>
    <col min="3076" max="3076" width="16.125" customWidth="1"/>
    <col min="3077" max="3077" width="15.375" customWidth="1"/>
    <col min="3078" max="3078" width="11.5" bestFit="1" customWidth="1"/>
    <col min="3079" max="3083" width="10" customWidth="1"/>
    <col min="3084" max="3084" width="8.75" customWidth="1"/>
    <col min="3085" max="3085" width="10" customWidth="1"/>
    <col min="3086" max="3086" width="12.625" customWidth="1"/>
    <col min="3087" max="3087" width="10" customWidth="1"/>
    <col min="3088" max="3088" width="11.75" customWidth="1"/>
    <col min="3089" max="3089" width="9.625" customWidth="1"/>
    <col min="3090" max="3090" width="16.625" customWidth="1"/>
    <col min="3091" max="3091" width="11.75" customWidth="1"/>
    <col min="3330" max="3330" width="25" customWidth="1"/>
    <col min="3331" max="3331" width="14.375" customWidth="1"/>
    <col min="3332" max="3332" width="16.125" customWidth="1"/>
    <col min="3333" max="3333" width="15.375" customWidth="1"/>
    <col min="3334" max="3334" width="11.5" bestFit="1" customWidth="1"/>
    <col min="3335" max="3339" width="10" customWidth="1"/>
    <col min="3340" max="3340" width="8.75" customWidth="1"/>
    <col min="3341" max="3341" width="10" customWidth="1"/>
    <col min="3342" max="3342" width="12.625" customWidth="1"/>
    <col min="3343" max="3343" width="10" customWidth="1"/>
    <col min="3344" max="3344" width="11.75" customWidth="1"/>
    <col min="3345" max="3345" width="9.625" customWidth="1"/>
    <col min="3346" max="3346" width="16.625" customWidth="1"/>
    <col min="3347" max="3347" width="11.75" customWidth="1"/>
    <col min="3586" max="3586" width="25" customWidth="1"/>
    <col min="3587" max="3587" width="14.375" customWidth="1"/>
    <col min="3588" max="3588" width="16.125" customWidth="1"/>
    <col min="3589" max="3589" width="15.375" customWidth="1"/>
    <col min="3590" max="3590" width="11.5" bestFit="1" customWidth="1"/>
    <col min="3591" max="3595" width="10" customWidth="1"/>
    <col min="3596" max="3596" width="8.75" customWidth="1"/>
    <col min="3597" max="3597" width="10" customWidth="1"/>
    <col min="3598" max="3598" width="12.625" customWidth="1"/>
    <col min="3599" max="3599" width="10" customWidth="1"/>
    <col min="3600" max="3600" width="11.75" customWidth="1"/>
    <col min="3601" max="3601" width="9.625" customWidth="1"/>
    <col min="3602" max="3602" width="16.625" customWidth="1"/>
    <col min="3603" max="3603" width="11.75" customWidth="1"/>
    <col min="3842" max="3842" width="25" customWidth="1"/>
    <col min="3843" max="3843" width="14.375" customWidth="1"/>
    <col min="3844" max="3844" width="16.125" customWidth="1"/>
    <col min="3845" max="3845" width="15.375" customWidth="1"/>
    <col min="3846" max="3846" width="11.5" bestFit="1" customWidth="1"/>
    <col min="3847" max="3851" width="10" customWidth="1"/>
    <col min="3852" max="3852" width="8.75" customWidth="1"/>
    <col min="3853" max="3853" width="10" customWidth="1"/>
    <col min="3854" max="3854" width="12.625" customWidth="1"/>
    <col min="3855" max="3855" width="10" customWidth="1"/>
    <col min="3856" max="3856" width="11.75" customWidth="1"/>
    <col min="3857" max="3857" width="9.625" customWidth="1"/>
    <col min="3858" max="3858" width="16.625" customWidth="1"/>
    <col min="3859" max="3859" width="11.75" customWidth="1"/>
    <col min="4098" max="4098" width="25" customWidth="1"/>
    <col min="4099" max="4099" width="14.375" customWidth="1"/>
    <col min="4100" max="4100" width="16.125" customWidth="1"/>
    <col min="4101" max="4101" width="15.375" customWidth="1"/>
    <col min="4102" max="4102" width="11.5" bestFit="1" customWidth="1"/>
    <col min="4103" max="4107" width="10" customWidth="1"/>
    <col min="4108" max="4108" width="8.75" customWidth="1"/>
    <col min="4109" max="4109" width="10" customWidth="1"/>
    <col min="4110" max="4110" width="12.625" customWidth="1"/>
    <col min="4111" max="4111" width="10" customWidth="1"/>
    <col min="4112" max="4112" width="11.75" customWidth="1"/>
    <col min="4113" max="4113" width="9.625" customWidth="1"/>
    <col min="4114" max="4114" width="16.625" customWidth="1"/>
    <col min="4115" max="4115" width="11.75" customWidth="1"/>
    <col min="4354" max="4354" width="25" customWidth="1"/>
    <col min="4355" max="4355" width="14.375" customWidth="1"/>
    <col min="4356" max="4356" width="16.125" customWidth="1"/>
    <col min="4357" max="4357" width="15.375" customWidth="1"/>
    <col min="4358" max="4358" width="11.5" bestFit="1" customWidth="1"/>
    <col min="4359" max="4363" width="10" customWidth="1"/>
    <col min="4364" max="4364" width="8.75" customWidth="1"/>
    <col min="4365" max="4365" width="10" customWidth="1"/>
    <col min="4366" max="4366" width="12.625" customWidth="1"/>
    <col min="4367" max="4367" width="10" customWidth="1"/>
    <col min="4368" max="4368" width="11.75" customWidth="1"/>
    <col min="4369" max="4369" width="9.625" customWidth="1"/>
    <col min="4370" max="4370" width="16.625" customWidth="1"/>
    <col min="4371" max="4371" width="11.75" customWidth="1"/>
    <col min="4610" max="4610" width="25" customWidth="1"/>
    <col min="4611" max="4611" width="14.375" customWidth="1"/>
    <col min="4612" max="4612" width="16.125" customWidth="1"/>
    <col min="4613" max="4613" width="15.375" customWidth="1"/>
    <col min="4614" max="4614" width="11.5" bestFit="1" customWidth="1"/>
    <col min="4615" max="4619" width="10" customWidth="1"/>
    <col min="4620" max="4620" width="8.75" customWidth="1"/>
    <col min="4621" max="4621" width="10" customWidth="1"/>
    <col min="4622" max="4622" width="12.625" customWidth="1"/>
    <col min="4623" max="4623" width="10" customWidth="1"/>
    <col min="4624" max="4624" width="11.75" customWidth="1"/>
    <col min="4625" max="4625" width="9.625" customWidth="1"/>
    <col min="4626" max="4626" width="16.625" customWidth="1"/>
    <col min="4627" max="4627" width="11.75" customWidth="1"/>
    <col min="4866" max="4866" width="25" customWidth="1"/>
    <col min="4867" max="4867" width="14.375" customWidth="1"/>
    <col min="4868" max="4868" width="16.125" customWidth="1"/>
    <col min="4869" max="4869" width="15.375" customWidth="1"/>
    <col min="4870" max="4870" width="11.5" bestFit="1" customWidth="1"/>
    <col min="4871" max="4875" width="10" customWidth="1"/>
    <col min="4876" max="4876" width="8.75" customWidth="1"/>
    <col min="4877" max="4877" width="10" customWidth="1"/>
    <col min="4878" max="4878" width="12.625" customWidth="1"/>
    <col min="4879" max="4879" width="10" customWidth="1"/>
    <col min="4880" max="4880" width="11.75" customWidth="1"/>
    <col min="4881" max="4881" width="9.625" customWidth="1"/>
    <col min="4882" max="4882" width="16.625" customWidth="1"/>
    <col min="4883" max="4883" width="11.75" customWidth="1"/>
    <col min="5122" max="5122" width="25" customWidth="1"/>
    <col min="5123" max="5123" width="14.375" customWidth="1"/>
    <col min="5124" max="5124" width="16.125" customWidth="1"/>
    <col min="5125" max="5125" width="15.375" customWidth="1"/>
    <col min="5126" max="5126" width="11.5" bestFit="1" customWidth="1"/>
    <col min="5127" max="5131" width="10" customWidth="1"/>
    <col min="5132" max="5132" width="8.75" customWidth="1"/>
    <col min="5133" max="5133" width="10" customWidth="1"/>
    <col min="5134" max="5134" width="12.625" customWidth="1"/>
    <col min="5135" max="5135" width="10" customWidth="1"/>
    <col min="5136" max="5136" width="11.75" customWidth="1"/>
    <col min="5137" max="5137" width="9.625" customWidth="1"/>
    <col min="5138" max="5138" width="16.625" customWidth="1"/>
    <col min="5139" max="5139" width="11.75" customWidth="1"/>
    <col min="5378" max="5378" width="25" customWidth="1"/>
    <col min="5379" max="5379" width="14.375" customWidth="1"/>
    <col min="5380" max="5380" width="16.125" customWidth="1"/>
    <col min="5381" max="5381" width="15.375" customWidth="1"/>
    <col min="5382" max="5382" width="11.5" bestFit="1" customWidth="1"/>
    <col min="5383" max="5387" width="10" customWidth="1"/>
    <col min="5388" max="5388" width="8.75" customWidth="1"/>
    <col min="5389" max="5389" width="10" customWidth="1"/>
    <col min="5390" max="5390" width="12.625" customWidth="1"/>
    <col min="5391" max="5391" width="10" customWidth="1"/>
    <col min="5392" max="5392" width="11.75" customWidth="1"/>
    <col min="5393" max="5393" width="9.625" customWidth="1"/>
    <col min="5394" max="5394" width="16.625" customWidth="1"/>
    <col min="5395" max="5395" width="11.75" customWidth="1"/>
    <col min="5634" max="5634" width="25" customWidth="1"/>
    <col min="5635" max="5635" width="14.375" customWidth="1"/>
    <col min="5636" max="5636" width="16.125" customWidth="1"/>
    <col min="5637" max="5637" width="15.375" customWidth="1"/>
    <col min="5638" max="5638" width="11.5" bestFit="1" customWidth="1"/>
    <col min="5639" max="5643" width="10" customWidth="1"/>
    <col min="5644" max="5644" width="8.75" customWidth="1"/>
    <col min="5645" max="5645" width="10" customWidth="1"/>
    <col min="5646" max="5646" width="12.625" customWidth="1"/>
    <col min="5647" max="5647" width="10" customWidth="1"/>
    <col min="5648" max="5648" width="11.75" customWidth="1"/>
    <col min="5649" max="5649" width="9.625" customWidth="1"/>
    <col min="5650" max="5650" width="16.625" customWidth="1"/>
    <col min="5651" max="5651" width="11.75" customWidth="1"/>
    <col min="5890" max="5890" width="25" customWidth="1"/>
    <col min="5891" max="5891" width="14.375" customWidth="1"/>
    <col min="5892" max="5892" width="16.125" customWidth="1"/>
    <col min="5893" max="5893" width="15.375" customWidth="1"/>
    <col min="5894" max="5894" width="11.5" bestFit="1" customWidth="1"/>
    <col min="5895" max="5899" width="10" customWidth="1"/>
    <col min="5900" max="5900" width="8.75" customWidth="1"/>
    <col min="5901" max="5901" width="10" customWidth="1"/>
    <col min="5902" max="5902" width="12.625" customWidth="1"/>
    <col min="5903" max="5903" width="10" customWidth="1"/>
    <col min="5904" max="5904" width="11.75" customWidth="1"/>
    <col min="5905" max="5905" width="9.625" customWidth="1"/>
    <col min="5906" max="5906" width="16.625" customWidth="1"/>
    <col min="5907" max="5907" width="11.75" customWidth="1"/>
    <col min="6146" max="6146" width="25" customWidth="1"/>
    <col min="6147" max="6147" width="14.375" customWidth="1"/>
    <col min="6148" max="6148" width="16.125" customWidth="1"/>
    <col min="6149" max="6149" width="15.375" customWidth="1"/>
    <col min="6150" max="6150" width="11.5" bestFit="1" customWidth="1"/>
    <col min="6151" max="6155" width="10" customWidth="1"/>
    <col min="6156" max="6156" width="8.75" customWidth="1"/>
    <col min="6157" max="6157" width="10" customWidth="1"/>
    <col min="6158" max="6158" width="12.625" customWidth="1"/>
    <col min="6159" max="6159" width="10" customWidth="1"/>
    <col min="6160" max="6160" width="11.75" customWidth="1"/>
    <col min="6161" max="6161" width="9.625" customWidth="1"/>
    <col min="6162" max="6162" width="16.625" customWidth="1"/>
    <col min="6163" max="6163" width="11.75" customWidth="1"/>
    <col min="6402" max="6402" width="25" customWidth="1"/>
    <col min="6403" max="6403" width="14.375" customWidth="1"/>
    <col min="6404" max="6404" width="16.125" customWidth="1"/>
    <col min="6405" max="6405" width="15.375" customWidth="1"/>
    <col min="6406" max="6406" width="11.5" bestFit="1" customWidth="1"/>
    <col min="6407" max="6411" width="10" customWidth="1"/>
    <col min="6412" max="6412" width="8.75" customWidth="1"/>
    <col min="6413" max="6413" width="10" customWidth="1"/>
    <col min="6414" max="6414" width="12.625" customWidth="1"/>
    <col min="6415" max="6415" width="10" customWidth="1"/>
    <col min="6416" max="6416" width="11.75" customWidth="1"/>
    <col min="6417" max="6417" width="9.625" customWidth="1"/>
    <col min="6418" max="6418" width="16.625" customWidth="1"/>
    <col min="6419" max="6419" width="11.75" customWidth="1"/>
    <col min="6658" max="6658" width="25" customWidth="1"/>
    <col min="6659" max="6659" width="14.375" customWidth="1"/>
    <col min="6660" max="6660" width="16.125" customWidth="1"/>
    <col min="6661" max="6661" width="15.375" customWidth="1"/>
    <col min="6662" max="6662" width="11.5" bestFit="1" customWidth="1"/>
    <col min="6663" max="6667" width="10" customWidth="1"/>
    <col min="6668" max="6668" width="8.75" customWidth="1"/>
    <col min="6669" max="6669" width="10" customWidth="1"/>
    <col min="6670" max="6670" width="12.625" customWidth="1"/>
    <col min="6671" max="6671" width="10" customWidth="1"/>
    <col min="6672" max="6672" width="11.75" customWidth="1"/>
    <col min="6673" max="6673" width="9.625" customWidth="1"/>
    <col min="6674" max="6674" width="16.625" customWidth="1"/>
    <col min="6675" max="6675" width="11.75" customWidth="1"/>
    <col min="6914" max="6914" width="25" customWidth="1"/>
    <col min="6915" max="6915" width="14.375" customWidth="1"/>
    <col min="6916" max="6916" width="16.125" customWidth="1"/>
    <col min="6917" max="6917" width="15.375" customWidth="1"/>
    <col min="6918" max="6918" width="11.5" bestFit="1" customWidth="1"/>
    <col min="6919" max="6923" width="10" customWidth="1"/>
    <col min="6924" max="6924" width="8.75" customWidth="1"/>
    <col min="6925" max="6925" width="10" customWidth="1"/>
    <col min="6926" max="6926" width="12.625" customWidth="1"/>
    <col min="6927" max="6927" width="10" customWidth="1"/>
    <col min="6928" max="6928" width="11.75" customWidth="1"/>
    <col min="6929" max="6929" width="9.625" customWidth="1"/>
    <col min="6930" max="6930" width="16.625" customWidth="1"/>
    <col min="6931" max="6931" width="11.75" customWidth="1"/>
    <col min="7170" max="7170" width="25" customWidth="1"/>
    <col min="7171" max="7171" width="14.375" customWidth="1"/>
    <col min="7172" max="7172" width="16.125" customWidth="1"/>
    <col min="7173" max="7173" width="15.375" customWidth="1"/>
    <col min="7174" max="7174" width="11.5" bestFit="1" customWidth="1"/>
    <col min="7175" max="7179" width="10" customWidth="1"/>
    <col min="7180" max="7180" width="8.75" customWidth="1"/>
    <col min="7181" max="7181" width="10" customWidth="1"/>
    <col min="7182" max="7182" width="12.625" customWidth="1"/>
    <col min="7183" max="7183" width="10" customWidth="1"/>
    <col min="7184" max="7184" width="11.75" customWidth="1"/>
    <col min="7185" max="7185" width="9.625" customWidth="1"/>
    <col min="7186" max="7186" width="16.625" customWidth="1"/>
    <col min="7187" max="7187" width="11.75" customWidth="1"/>
    <col min="7426" max="7426" width="25" customWidth="1"/>
    <col min="7427" max="7427" width="14.375" customWidth="1"/>
    <col min="7428" max="7428" width="16.125" customWidth="1"/>
    <col min="7429" max="7429" width="15.375" customWidth="1"/>
    <col min="7430" max="7430" width="11.5" bestFit="1" customWidth="1"/>
    <col min="7431" max="7435" width="10" customWidth="1"/>
    <col min="7436" max="7436" width="8.75" customWidth="1"/>
    <col min="7437" max="7437" width="10" customWidth="1"/>
    <col min="7438" max="7438" width="12.625" customWidth="1"/>
    <col min="7439" max="7439" width="10" customWidth="1"/>
    <col min="7440" max="7440" width="11.75" customWidth="1"/>
    <col min="7441" max="7441" width="9.625" customWidth="1"/>
    <col min="7442" max="7442" width="16.625" customWidth="1"/>
    <col min="7443" max="7443" width="11.75" customWidth="1"/>
    <col min="7682" max="7682" width="25" customWidth="1"/>
    <col min="7683" max="7683" width="14.375" customWidth="1"/>
    <col min="7684" max="7684" width="16.125" customWidth="1"/>
    <col min="7685" max="7685" width="15.375" customWidth="1"/>
    <col min="7686" max="7686" width="11.5" bestFit="1" customWidth="1"/>
    <col min="7687" max="7691" width="10" customWidth="1"/>
    <col min="7692" max="7692" width="8.75" customWidth="1"/>
    <col min="7693" max="7693" width="10" customWidth="1"/>
    <col min="7694" max="7694" width="12.625" customWidth="1"/>
    <col min="7695" max="7695" width="10" customWidth="1"/>
    <col min="7696" max="7696" width="11.75" customWidth="1"/>
    <col min="7697" max="7697" width="9.625" customWidth="1"/>
    <col min="7698" max="7698" width="16.625" customWidth="1"/>
    <col min="7699" max="7699" width="11.75" customWidth="1"/>
    <col min="7938" max="7938" width="25" customWidth="1"/>
    <col min="7939" max="7939" width="14.375" customWidth="1"/>
    <col min="7940" max="7940" width="16.125" customWidth="1"/>
    <col min="7941" max="7941" width="15.375" customWidth="1"/>
    <col min="7942" max="7942" width="11.5" bestFit="1" customWidth="1"/>
    <col min="7943" max="7947" width="10" customWidth="1"/>
    <col min="7948" max="7948" width="8.75" customWidth="1"/>
    <col min="7949" max="7949" width="10" customWidth="1"/>
    <col min="7950" max="7950" width="12.625" customWidth="1"/>
    <col min="7951" max="7951" width="10" customWidth="1"/>
    <col min="7952" max="7952" width="11.75" customWidth="1"/>
    <col min="7953" max="7953" width="9.625" customWidth="1"/>
    <col min="7954" max="7954" width="16.625" customWidth="1"/>
    <col min="7955" max="7955" width="11.75" customWidth="1"/>
    <col min="8194" max="8194" width="25" customWidth="1"/>
    <col min="8195" max="8195" width="14.375" customWidth="1"/>
    <col min="8196" max="8196" width="16.125" customWidth="1"/>
    <col min="8197" max="8197" width="15.375" customWidth="1"/>
    <col min="8198" max="8198" width="11.5" bestFit="1" customWidth="1"/>
    <col min="8199" max="8203" width="10" customWidth="1"/>
    <col min="8204" max="8204" width="8.75" customWidth="1"/>
    <col min="8205" max="8205" width="10" customWidth="1"/>
    <col min="8206" max="8206" width="12.625" customWidth="1"/>
    <col min="8207" max="8207" width="10" customWidth="1"/>
    <col min="8208" max="8208" width="11.75" customWidth="1"/>
    <col min="8209" max="8209" width="9.625" customWidth="1"/>
    <col min="8210" max="8210" width="16.625" customWidth="1"/>
    <col min="8211" max="8211" width="11.75" customWidth="1"/>
    <col min="8450" max="8450" width="25" customWidth="1"/>
    <col min="8451" max="8451" width="14.375" customWidth="1"/>
    <col min="8452" max="8452" width="16.125" customWidth="1"/>
    <col min="8453" max="8453" width="15.375" customWidth="1"/>
    <col min="8454" max="8454" width="11.5" bestFit="1" customWidth="1"/>
    <col min="8455" max="8459" width="10" customWidth="1"/>
    <col min="8460" max="8460" width="8.75" customWidth="1"/>
    <col min="8461" max="8461" width="10" customWidth="1"/>
    <col min="8462" max="8462" width="12.625" customWidth="1"/>
    <col min="8463" max="8463" width="10" customWidth="1"/>
    <col min="8464" max="8464" width="11.75" customWidth="1"/>
    <col min="8465" max="8465" width="9.625" customWidth="1"/>
    <col min="8466" max="8466" width="16.625" customWidth="1"/>
    <col min="8467" max="8467" width="11.75" customWidth="1"/>
    <col min="8706" max="8706" width="25" customWidth="1"/>
    <col min="8707" max="8707" width="14.375" customWidth="1"/>
    <col min="8708" max="8708" width="16.125" customWidth="1"/>
    <col min="8709" max="8709" width="15.375" customWidth="1"/>
    <col min="8710" max="8710" width="11.5" bestFit="1" customWidth="1"/>
    <col min="8711" max="8715" width="10" customWidth="1"/>
    <col min="8716" max="8716" width="8.75" customWidth="1"/>
    <col min="8717" max="8717" width="10" customWidth="1"/>
    <col min="8718" max="8718" width="12.625" customWidth="1"/>
    <col min="8719" max="8719" width="10" customWidth="1"/>
    <col min="8720" max="8720" width="11.75" customWidth="1"/>
    <col min="8721" max="8721" width="9.625" customWidth="1"/>
    <col min="8722" max="8722" width="16.625" customWidth="1"/>
    <col min="8723" max="8723" width="11.75" customWidth="1"/>
    <col min="8962" max="8962" width="25" customWidth="1"/>
    <col min="8963" max="8963" width="14.375" customWidth="1"/>
    <col min="8964" max="8964" width="16.125" customWidth="1"/>
    <col min="8965" max="8965" width="15.375" customWidth="1"/>
    <col min="8966" max="8966" width="11.5" bestFit="1" customWidth="1"/>
    <col min="8967" max="8971" width="10" customWidth="1"/>
    <col min="8972" max="8972" width="8.75" customWidth="1"/>
    <col min="8973" max="8973" width="10" customWidth="1"/>
    <col min="8974" max="8974" width="12.625" customWidth="1"/>
    <col min="8975" max="8975" width="10" customWidth="1"/>
    <col min="8976" max="8976" width="11.75" customWidth="1"/>
    <col min="8977" max="8977" width="9.625" customWidth="1"/>
    <col min="8978" max="8978" width="16.625" customWidth="1"/>
    <col min="8979" max="8979" width="11.75" customWidth="1"/>
    <col min="9218" max="9218" width="25" customWidth="1"/>
    <col min="9219" max="9219" width="14.375" customWidth="1"/>
    <col min="9220" max="9220" width="16.125" customWidth="1"/>
    <col min="9221" max="9221" width="15.375" customWidth="1"/>
    <col min="9222" max="9222" width="11.5" bestFit="1" customWidth="1"/>
    <col min="9223" max="9227" width="10" customWidth="1"/>
    <col min="9228" max="9228" width="8.75" customWidth="1"/>
    <col min="9229" max="9229" width="10" customWidth="1"/>
    <col min="9230" max="9230" width="12.625" customWidth="1"/>
    <col min="9231" max="9231" width="10" customWidth="1"/>
    <col min="9232" max="9232" width="11.75" customWidth="1"/>
    <col min="9233" max="9233" width="9.625" customWidth="1"/>
    <col min="9234" max="9234" width="16.625" customWidth="1"/>
    <col min="9235" max="9235" width="11.75" customWidth="1"/>
    <col min="9474" max="9474" width="25" customWidth="1"/>
    <col min="9475" max="9475" width="14.375" customWidth="1"/>
    <col min="9476" max="9476" width="16.125" customWidth="1"/>
    <col min="9477" max="9477" width="15.375" customWidth="1"/>
    <col min="9478" max="9478" width="11.5" bestFit="1" customWidth="1"/>
    <col min="9479" max="9483" width="10" customWidth="1"/>
    <col min="9484" max="9484" width="8.75" customWidth="1"/>
    <col min="9485" max="9485" width="10" customWidth="1"/>
    <col min="9486" max="9486" width="12.625" customWidth="1"/>
    <col min="9487" max="9487" width="10" customWidth="1"/>
    <col min="9488" max="9488" width="11.75" customWidth="1"/>
    <col min="9489" max="9489" width="9.625" customWidth="1"/>
    <col min="9490" max="9490" width="16.625" customWidth="1"/>
    <col min="9491" max="9491" width="11.75" customWidth="1"/>
    <col min="9730" max="9730" width="25" customWidth="1"/>
    <col min="9731" max="9731" width="14.375" customWidth="1"/>
    <col min="9732" max="9732" width="16.125" customWidth="1"/>
    <col min="9733" max="9733" width="15.375" customWidth="1"/>
    <col min="9734" max="9734" width="11.5" bestFit="1" customWidth="1"/>
    <col min="9735" max="9739" width="10" customWidth="1"/>
    <col min="9740" max="9740" width="8.75" customWidth="1"/>
    <col min="9741" max="9741" width="10" customWidth="1"/>
    <col min="9742" max="9742" width="12.625" customWidth="1"/>
    <col min="9743" max="9743" width="10" customWidth="1"/>
    <col min="9744" max="9744" width="11.75" customWidth="1"/>
    <col min="9745" max="9745" width="9.625" customWidth="1"/>
    <col min="9746" max="9746" width="16.625" customWidth="1"/>
    <col min="9747" max="9747" width="11.75" customWidth="1"/>
    <col min="9986" max="9986" width="25" customWidth="1"/>
    <col min="9987" max="9987" width="14.375" customWidth="1"/>
    <col min="9988" max="9988" width="16.125" customWidth="1"/>
    <col min="9989" max="9989" width="15.375" customWidth="1"/>
    <col min="9990" max="9990" width="11.5" bestFit="1" customWidth="1"/>
    <col min="9991" max="9995" width="10" customWidth="1"/>
    <col min="9996" max="9996" width="8.75" customWidth="1"/>
    <col min="9997" max="9997" width="10" customWidth="1"/>
    <col min="9998" max="9998" width="12.625" customWidth="1"/>
    <col min="9999" max="9999" width="10" customWidth="1"/>
    <col min="10000" max="10000" width="11.75" customWidth="1"/>
    <col min="10001" max="10001" width="9.625" customWidth="1"/>
    <col min="10002" max="10002" width="16.625" customWidth="1"/>
    <col min="10003" max="10003" width="11.75" customWidth="1"/>
    <col min="10242" max="10242" width="25" customWidth="1"/>
    <col min="10243" max="10243" width="14.375" customWidth="1"/>
    <col min="10244" max="10244" width="16.125" customWidth="1"/>
    <col min="10245" max="10245" width="15.375" customWidth="1"/>
    <col min="10246" max="10246" width="11.5" bestFit="1" customWidth="1"/>
    <col min="10247" max="10251" width="10" customWidth="1"/>
    <col min="10252" max="10252" width="8.75" customWidth="1"/>
    <col min="10253" max="10253" width="10" customWidth="1"/>
    <col min="10254" max="10254" width="12.625" customWidth="1"/>
    <col min="10255" max="10255" width="10" customWidth="1"/>
    <col min="10256" max="10256" width="11.75" customWidth="1"/>
    <col min="10257" max="10257" width="9.625" customWidth="1"/>
    <col min="10258" max="10258" width="16.625" customWidth="1"/>
    <col min="10259" max="10259" width="11.75" customWidth="1"/>
    <col min="10498" max="10498" width="25" customWidth="1"/>
    <col min="10499" max="10499" width="14.375" customWidth="1"/>
    <col min="10500" max="10500" width="16.125" customWidth="1"/>
    <col min="10501" max="10501" width="15.375" customWidth="1"/>
    <col min="10502" max="10502" width="11.5" bestFit="1" customWidth="1"/>
    <col min="10503" max="10507" width="10" customWidth="1"/>
    <col min="10508" max="10508" width="8.75" customWidth="1"/>
    <col min="10509" max="10509" width="10" customWidth="1"/>
    <col min="10510" max="10510" width="12.625" customWidth="1"/>
    <col min="10511" max="10511" width="10" customWidth="1"/>
    <col min="10512" max="10512" width="11.75" customWidth="1"/>
    <col min="10513" max="10513" width="9.625" customWidth="1"/>
    <col min="10514" max="10514" width="16.625" customWidth="1"/>
    <col min="10515" max="10515" width="11.75" customWidth="1"/>
    <col min="10754" max="10754" width="25" customWidth="1"/>
    <col min="10755" max="10755" width="14.375" customWidth="1"/>
    <col min="10756" max="10756" width="16.125" customWidth="1"/>
    <col min="10757" max="10757" width="15.375" customWidth="1"/>
    <col min="10758" max="10758" width="11.5" bestFit="1" customWidth="1"/>
    <col min="10759" max="10763" width="10" customWidth="1"/>
    <col min="10764" max="10764" width="8.75" customWidth="1"/>
    <col min="10765" max="10765" width="10" customWidth="1"/>
    <col min="10766" max="10766" width="12.625" customWidth="1"/>
    <col min="10767" max="10767" width="10" customWidth="1"/>
    <col min="10768" max="10768" width="11.75" customWidth="1"/>
    <col min="10769" max="10769" width="9.625" customWidth="1"/>
    <col min="10770" max="10770" width="16.625" customWidth="1"/>
    <col min="10771" max="10771" width="11.75" customWidth="1"/>
    <col min="11010" max="11010" width="25" customWidth="1"/>
    <col min="11011" max="11011" width="14.375" customWidth="1"/>
    <col min="11012" max="11012" width="16.125" customWidth="1"/>
    <col min="11013" max="11013" width="15.375" customWidth="1"/>
    <col min="11014" max="11014" width="11.5" bestFit="1" customWidth="1"/>
    <col min="11015" max="11019" width="10" customWidth="1"/>
    <col min="11020" max="11020" width="8.75" customWidth="1"/>
    <col min="11021" max="11021" width="10" customWidth="1"/>
    <col min="11022" max="11022" width="12.625" customWidth="1"/>
    <col min="11023" max="11023" width="10" customWidth="1"/>
    <col min="11024" max="11024" width="11.75" customWidth="1"/>
    <col min="11025" max="11025" width="9.625" customWidth="1"/>
    <col min="11026" max="11026" width="16.625" customWidth="1"/>
    <col min="11027" max="11027" width="11.75" customWidth="1"/>
    <col min="11266" max="11266" width="25" customWidth="1"/>
    <col min="11267" max="11267" width="14.375" customWidth="1"/>
    <col min="11268" max="11268" width="16.125" customWidth="1"/>
    <col min="11269" max="11269" width="15.375" customWidth="1"/>
    <col min="11270" max="11270" width="11.5" bestFit="1" customWidth="1"/>
    <col min="11271" max="11275" width="10" customWidth="1"/>
    <col min="11276" max="11276" width="8.75" customWidth="1"/>
    <col min="11277" max="11277" width="10" customWidth="1"/>
    <col min="11278" max="11278" width="12.625" customWidth="1"/>
    <col min="11279" max="11279" width="10" customWidth="1"/>
    <col min="11280" max="11280" width="11.75" customWidth="1"/>
    <col min="11281" max="11281" width="9.625" customWidth="1"/>
    <col min="11282" max="11282" width="16.625" customWidth="1"/>
    <col min="11283" max="11283" width="11.75" customWidth="1"/>
    <col min="11522" max="11522" width="25" customWidth="1"/>
    <col min="11523" max="11523" width="14.375" customWidth="1"/>
    <col min="11524" max="11524" width="16.125" customWidth="1"/>
    <col min="11525" max="11525" width="15.375" customWidth="1"/>
    <col min="11526" max="11526" width="11.5" bestFit="1" customWidth="1"/>
    <col min="11527" max="11531" width="10" customWidth="1"/>
    <col min="11532" max="11532" width="8.75" customWidth="1"/>
    <col min="11533" max="11533" width="10" customWidth="1"/>
    <col min="11534" max="11534" width="12.625" customWidth="1"/>
    <col min="11535" max="11535" width="10" customWidth="1"/>
    <col min="11536" max="11536" width="11.75" customWidth="1"/>
    <col min="11537" max="11537" width="9.625" customWidth="1"/>
    <col min="11538" max="11538" width="16.625" customWidth="1"/>
    <col min="11539" max="11539" width="11.75" customWidth="1"/>
    <col min="11778" max="11778" width="25" customWidth="1"/>
    <col min="11779" max="11779" width="14.375" customWidth="1"/>
    <col min="11780" max="11780" width="16.125" customWidth="1"/>
    <col min="11781" max="11781" width="15.375" customWidth="1"/>
    <col min="11782" max="11782" width="11.5" bestFit="1" customWidth="1"/>
    <col min="11783" max="11787" width="10" customWidth="1"/>
    <col min="11788" max="11788" width="8.75" customWidth="1"/>
    <col min="11789" max="11789" width="10" customWidth="1"/>
    <col min="11790" max="11790" width="12.625" customWidth="1"/>
    <col min="11791" max="11791" width="10" customWidth="1"/>
    <col min="11792" max="11792" width="11.75" customWidth="1"/>
    <col min="11793" max="11793" width="9.625" customWidth="1"/>
    <col min="11794" max="11794" width="16.625" customWidth="1"/>
    <col min="11795" max="11795" width="11.75" customWidth="1"/>
    <col min="12034" max="12034" width="25" customWidth="1"/>
    <col min="12035" max="12035" width="14.375" customWidth="1"/>
    <col min="12036" max="12036" width="16.125" customWidth="1"/>
    <col min="12037" max="12037" width="15.375" customWidth="1"/>
    <col min="12038" max="12038" width="11.5" bestFit="1" customWidth="1"/>
    <col min="12039" max="12043" width="10" customWidth="1"/>
    <col min="12044" max="12044" width="8.75" customWidth="1"/>
    <col min="12045" max="12045" width="10" customWidth="1"/>
    <col min="12046" max="12046" width="12.625" customWidth="1"/>
    <col min="12047" max="12047" width="10" customWidth="1"/>
    <col min="12048" max="12048" width="11.75" customWidth="1"/>
    <col min="12049" max="12049" width="9.625" customWidth="1"/>
    <col min="12050" max="12050" width="16.625" customWidth="1"/>
    <col min="12051" max="12051" width="11.75" customWidth="1"/>
    <col min="12290" max="12290" width="25" customWidth="1"/>
    <col min="12291" max="12291" width="14.375" customWidth="1"/>
    <col min="12292" max="12292" width="16.125" customWidth="1"/>
    <col min="12293" max="12293" width="15.375" customWidth="1"/>
    <col min="12294" max="12294" width="11.5" bestFit="1" customWidth="1"/>
    <col min="12295" max="12299" width="10" customWidth="1"/>
    <col min="12300" max="12300" width="8.75" customWidth="1"/>
    <col min="12301" max="12301" width="10" customWidth="1"/>
    <col min="12302" max="12302" width="12.625" customWidth="1"/>
    <col min="12303" max="12303" width="10" customWidth="1"/>
    <col min="12304" max="12304" width="11.75" customWidth="1"/>
    <col min="12305" max="12305" width="9.625" customWidth="1"/>
    <col min="12306" max="12306" width="16.625" customWidth="1"/>
    <col min="12307" max="12307" width="11.75" customWidth="1"/>
    <col min="12546" max="12546" width="25" customWidth="1"/>
    <col min="12547" max="12547" width="14.375" customWidth="1"/>
    <col min="12548" max="12548" width="16.125" customWidth="1"/>
    <col min="12549" max="12549" width="15.375" customWidth="1"/>
    <col min="12550" max="12550" width="11.5" bestFit="1" customWidth="1"/>
    <col min="12551" max="12555" width="10" customWidth="1"/>
    <col min="12556" max="12556" width="8.75" customWidth="1"/>
    <col min="12557" max="12557" width="10" customWidth="1"/>
    <col min="12558" max="12558" width="12.625" customWidth="1"/>
    <col min="12559" max="12559" width="10" customWidth="1"/>
    <col min="12560" max="12560" width="11.75" customWidth="1"/>
    <col min="12561" max="12561" width="9.625" customWidth="1"/>
    <col min="12562" max="12562" width="16.625" customWidth="1"/>
    <col min="12563" max="12563" width="11.75" customWidth="1"/>
    <col min="12802" max="12802" width="25" customWidth="1"/>
    <col min="12803" max="12803" width="14.375" customWidth="1"/>
    <col min="12804" max="12804" width="16.125" customWidth="1"/>
    <col min="12805" max="12805" width="15.375" customWidth="1"/>
    <col min="12806" max="12806" width="11.5" bestFit="1" customWidth="1"/>
    <col min="12807" max="12811" width="10" customWidth="1"/>
    <col min="12812" max="12812" width="8.75" customWidth="1"/>
    <col min="12813" max="12813" width="10" customWidth="1"/>
    <col min="12814" max="12814" width="12.625" customWidth="1"/>
    <col min="12815" max="12815" width="10" customWidth="1"/>
    <col min="12816" max="12816" width="11.75" customWidth="1"/>
    <col min="12817" max="12817" width="9.625" customWidth="1"/>
    <col min="12818" max="12818" width="16.625" customWidth="1"/>
    <col min="12819" max="12819" width="11.75" customWidth="1"/>
    <col min="13058" max="13058" width="25" customWidth="1"/>
    <col min="13059" max="13059" width="14.375" customWidth="1"/>
    <col min="13060" max="13060" width="16.125" customWidth="1"/>
    <col min="13061" max="13061" width="15.375" customWidth="1"/>
    <col min="13062" max="13062" width="11.5" bestFit="1" customWidth="1"/>
    <col min="13063" max="13067" width="10" customWidth="1"/>
    <col min="13068" max="13068" width="8.75" customWidth="1"/>
    <col min="13069" max="13069" width="10" customWidth="1"/>
    <col min="13070" max="13070" width="12.625" customWidth="1"/>
    <col min="13071" max="13071" width="10" customWidth="1"/>
    <col min="13072" max="13072" width="11.75" customWidth="1"/>
    <col min="13073" max="13073" width="9.625" customWidth="1"/>
    <col min="13074" max="13074" width="16.625" customWidth="1"/>
    <col min="13075" max="13075" width="11.75" customWidth="1"/>
    <col min="13314" max="13314" width="25" customWidth="1"/>
    <col min="13315" max="13315" width="14.375" customWidth="1"/>
    <col min="13316" max="13316" width="16.125" customWidth="1"/>
    <col min="13317" max="13317" width="15.375" customWidth="1"/>
    <col min="13318" max="13318" width="11.5" bestFit="1" customWidth="1"/>
    <col min="13319" max="13323" width="10" customWidth="1"/>
    <col min="13324" max="13324" width="8.75" customWidth="1"/>
    <col min="13325" max="13325" width="10" customWidth="1"/>
    <col min="13326" max="13326" width="12.625" customWidth="1"/>
    <col min="13327" max="13327" width="10" customWidth="1"/>
    <col min="13328" max="13328" width="11.75" customWidth="1"/>
    <col min="13329" max="13329" width="9.625" customWidth="1"/>
    <col min="13330" max="13330" width="16.625" customWidth="1"/>
    <col min="13331" max="13331" width="11.75" customWidth="1"/>
    <col min="13570" max="13570" width="25" customWidth="1"/>
    <col min="13571" max="13571" width="14.375" customWidth="1"/>
    <col min="13572" max="13572" width="16.125" customWidth="1"/>
    <col min="13573" max="13573" width="15.375" customWidth="1"/>
    <col min="13574" max="13574" width="11.5" bestFit="1" customWidth="1"/>
    <col min="13575" max="13579" width="10" customWidth="1"/>
    <col min="13580" max="13580" width="8.75" customWidth="1"/>
    <col min="13581" max="13581" width="10" customWidth="1"/>
    <col min="13582" max="13582" width="12.625" customWidth="1"/>
    <col min="13583" max="13583" width="10" customWidth="1"/>
    <col min="13584" max="13584" width="11.75" customWidth="1"/>
    <col min="13585" max="13585" width="9.625" customWidth="1"/>
    <col min="13586" max="13586" width="16.625" customWidth="1"/>
    <col min="13587" max="13587" width="11.75" customWidth="1"/>
    <col min="13826" max="13826" width="25" customWidth="1"/>
    <col min="13827" max="13827" width="14.375" customWidth="1"/>
    <col min="13828" max="13828" width="16.125" customWidth="1"/>
    <col min="13829" max="13829" width="15.375" customWidth="1"/>
    <col min="13830" max="13830" width="11.5" bestFit="1" customWidth="1"/>
    <col min="13831" max="13835" width="10" customWidth="1"/>
    <col min="13836" max="13836" width="8.75" customWidth="1"/>
    <col min="13837" max="13837" width="10" customWidth="1"/>
    <col min="13838" max="13838" width="12.625" customWidth="1"/>
    <col min="13839" max="13839" width="10" customWidth="1"/>
    <col min="13840" max="13840" width="11.75" customWidth="1"/>
    <col min="13841" max="13841" width="9.625" customWidth="1"/>
    <col min="13842" max="13842" width="16.625" customWidth="1"/>
    <col min="13843" max="13843" width="11.75" customWidth="1"/>
    <col min="14082" max="14082" width="25" customWidth="1"/>
    <col min="14083" max="14083" width="14.375" customWidth="1"/>
    <col min="14084" max="14084" width="16.125" customWidth="1"/>
    <col min="14085" max="14085" width="15.375" customWidth="1"/>
    <col min="14086" max="14086" width="11.5" bestFit="1" customWidth="1"/>
    <col min="14087" max="14091" width="10" customWidth="1"/>
    <col min="14092" max="14092" width="8.75" customWidth="1"/>
    <col min="14093" max="14093" width="10" customWidth="1"/>
    <col min="14094" max="14094" width="12.625" customWidth="1"/>
    <col min="14095" max="14095" width="10" customWidth="1"/>
    <col min="14096" max="14096" width="11.75" customWidth="1"/>
    <col min="14097" max="14097" width="9.625" customWidth="1"/>
    <col min="14098" max="14098" width="16.625" customWidth="1"/>
    <col min="14099" max="14099" width="11.75" customWidth="1"/>
    <col min="14338" max="14338" width="25" customWidth="1"/>
    <col min="14339" max="14339" width="14.375" customWidth="1"/>
    <col min="14340" max="14340" width="16.125" customWidth="1"/>
    <col min="14341" max="14341" width="15.375" customWidth="1"/>
    <col min="14342" max="14342" width="11.5" bestFit="1" customWidth="1"/>
    <col min="14343" max="14347" width="10" customWidth="1"/>
    <col min="14348" max="14348" width="8.75" customWidth="1"/>
    <col min="14349" max="14349" width="10" customWidth="1"/>
    <col min="14350" max="14350" width="12.625" customWidth="1"/>
    <col min="14351" max="14351" width="10" customWidth="1"/>
    <col min="14352" max="14352" width="11.75" customWidth="1"/>
    <col min="14353" max="14353" width="9.625" customWidth="1"/>
    <col min="14354" max="14354" width="16.625" customWidth="1"/>
    <col min="14355" max="14355" width="11.75" customWidth="1"/>
    <col min="14594" max="14594" width="25" customWidth="1"/>
    <col min="14595" max="14595" width="14.375" customWidth="1"/>
    <col min="14596" max="14596" width="16.125" customWidth="1"/>
    <col min="14597" max="14597" width="15.375" customWidth="1"/>
    <col min="14598" max="14598" width="11.5" bestFit="1" customWidth="1"/>
    <col min="14599" max="14603" width="10" customWidth="1"/>
    <col min="14604" max="14604" width="8.75" customWidth="1"/>
    <col min="14605" max="14605" width="10" customWidth="1"/>
    <col min="14606" max="14606" width="12.625" customWidth="1"/>
    <col min="14607" max="14607" width="10" customWidth="1"/>
    <col min="14608" max="14608" width="11.75" customWidth="1"/>
    <col min="14609" max="14609" width="9.625" customWidth="1"/>
    <col min="14610" max="14610" width="16.625" customWidth="1"/>
    <col min="14611" max="14611" width="11.75" customWidth="1"/>
    <col min="14850" max="14850" width="25" customWidth="1"/>
    <col min="14851" max="14851" width="14.375" customWidth="1"/>
    <col min="14852" max="14852" width="16.125" customWidth="1"/>
    <col min="14853" max="14853" width="15.375" customWidth="1"/>
    <col min="14854" max="14854" width="11.5" bestFit="1" customWidth="1"/>
    <col min="14855" max="14859" width="10" customWidth="1"/>
    <col min="14860" max="14860" width="8.75" customWidth="1"/>
    <col min="14861" max="14861" width="10" customWidth="1"/>
    <col min="14862" max="14862" width="12.625" customWidth="1"/>
    <col min="14863" max="14863" width="10" customWidth="1"/>
    <col min="14864" max="14864" width="11.75" customWidth="1"/>
    <col min="14865" max="14865" width="9.625" customWidth="1"/>
    <col min="14866" max="14866" width="16.625" customWidth="1"/>
    <col min="14867" max="14867" width="11.75" customWidth="1"/>
    <col min="15106" max="15106" width="25" customWidth="1"/>
    <col min="15107" max="15107" width="14.375" customWidth="1"/>
    <col min="15108" max="15108" width="16.125" customWidth="1"/>
    <col min="15109" max="15109" width="15.375" customWidth="1"/>
    <col min="15110" max="15110" width="11.5" bestFit="1" customWidth="1"/>
    <col min="15111" max="15115" width="10" customWidth="1"/>
    <col min="15116" max="15116" width="8.75" customWidth="1"/>
    <col min="15117" max="15117" width="10" customWidth="1"/>
    <col min="15118" max="15118" width="12.625" customWidth="1"/>
    <col min="15119" max="15119" width="10" customWidth="1"/>
    <col min="15120" max="15120" width="11.75" customWidth="1"/>
    <col min="15121" max="15121" width="9.625" customWidth="1"/>
    <col min="15122" max="15122" width="16.625" customWidth="1"/>
    <col min="15123" max="15123" width="11.75" customWidth="1"/>
    <col min="15362" max="15362" width="25" customWidth="1"/>
    <col min="15363" max="15363" width="14.375" customWidth="1"/>
    <col min="15364" max="15364" width="16.125" customWidth="1"/>
    <col min="15365" max="15365" width="15.375" customWidth="1"/>
    <col min="15366" max="15366" width="11.5" bestFit="1" customWidth="1"/>
    <col min="15367" max="15371" width="10" customWidth="1"/>
    <col min="15372" max="15372" width="8.75" customWidth="1"/>
    <col min="15373" max="15373" width="10" customWidth="1"/>
    <col min="15374" max="15374" width="12.625" customWidth="1"/>
    <col min="15375" max="15375" width="10" customWidth="1"/>
    <col min="15376" max="15376" width="11.75" customWidth="1"/>
    <col min="15377" max="15377" width="9.625" customWidth="1"/>
    <col min="15378" max="15378" width="16.625" customWidth="1"/>
    <col min="15379" max="15379" width="11.75" customWidth="1"/>
    <col min="15618" max="15618" width="25" customWidth="1"/>
    <col min="15619" max="15619" width="14.375" customWidth="1"/>
    <col min="15620" max="15620" width="16.125" customWidth="1"/>
    <col min="15621" max="15621" width="15.375" customWidth="1"/>
    <col min="15622" max="15622" width="11.5" bestFit="1" customWidth="1"/>
    <col min="15623" max="15627" width="10" customWidth="1"/>
    <col min="15628" max="15628" width="8.75" customWidth="1"/>
    <col min="15629" max="15629" width="10" customWidth="1"/>
    <col min="15630" max="15630" width="12.625" customWidth="1"/>
    <col min="15631" max="15631" width="10" customWidth="1"/>
    <col min="15632" max="15632" width="11.75" customWidth="1"/>
    <col min="15633" max="15633" width="9.625" customWidth="1"/>
    <col min="15634" max="15634" width="16.625" customWidth="1"/>
    <col min="15635" max="15635" width="11.75" customWidth="1"/>
    <col min="15874" max="15874" width="25" customWidth="1"/>
    <col min="15875" max="15875" width="14.375" customWidth="1"/>
    <col min="15876" max="15876" width="16.125" customWidth="1"/>
    <col min="15877" max="15877" width="15.375" customWidth="1"/>
    <col min="15878" max="15878" width="11.5" bestFit="1" customWidth="1"/>
    <col min="15879" max="15883" width="10" customWidth="1"/>
    <col min="15884" max="15884" width="8.75" customWidth="1"/>
    <col min="15885" max="15885" width="10" customWidth="1"/>
    <col min="15886" max="15886" width="12.625" customWidth="1"/>
    <col min="15887" max="15887" width="10" customWidth="1"/>
    <col min="15888" max="15888" width="11.75" customWidth="1"/>
    <col min="15889" max="15889" width="9.625" customWidth="1"/>
    <col min="15890" max="15890" width="16.625" customWidth="1"/>
    <col min="15891" max="15891" width="11.75" customWidth="1"/>
    <col min="16130" max="16130" width="25" customWidth="1"/>
    <col min="16131" max="16131" width="14.375" customWidth="1"/>
    <col min="16132" max="16132" width="16.125" customWidth="1"/>
    <col min="16133" max="16133" width="15.375" customWidth="1"/>
    <col min="16134" max="16134" width="11.5" bestFit="1" customWidth="1"/>
    <col min="16135" max="16139" width="10" customWidth="1"/>
    <col min="16140" max="16140" width="8.75" customWidth="1"/>
    <col min="16141" max="16141" width="10" customWidth="1"/>
    <col min="16142" max="16142" width="12.625" customWidth="1"/>
    <col min="16143" max="16143" width="10" customWidth="1"/>
    <col min="16144" max="16144" width="11.75" customWidth="1"/>
    <col min="16145" max="16145" width="9.625" customWidth="1"/>
    <col min="16146" max="16146" width="16.625" customWidth="1"/>
    <col min="16147" max="16147" width="11.75" customWidth="1"/>
  </cols>
  <sheetData>
    <row r="1" spans="1:23">
      <c r="B1" s="871" t="s">
        <v>39</v>
      </c>
      <c r="C1" s="871"/>
      <c r="D1" s="871"/>
      <c r="E1" s="871"/>
      <c r="F1" s="871"/>
    </row>
    <row r="2" spans="1:23">
      <c r="B2" s="871" t="s">
        <v>40</v>
      </c>
      <c r="C2" s="871"/>
      <c r="D2" s="871"/>
      <c r="E2" s="871"/>
      <c r="F2" s="871"/>
    </row>
    <row r="3" spans="1:23">
      <c r="B3" s="18"/>
      <c r="C3" s="18"/>
      <c r="D3" s="18"/>
      <c r="E3" s="18"/>
      <c r="F3" s="18"/>
    </row>
    <row r="4" spans="1:23">
      <c r="B4" s="871" t="s">
        <v>277</v>
      </c>
      <c r="C4" s="871"/>
      <c r="D4" s="871"/>
      <c r="E4" s="871"/>
      <c r="F4" s="871"/>
    </row>
    <row r="5" spans="1:23">
      <c r="B5" s="871" t="s">
        <v>598</v>
      </c>
      <c r="C5" s="871"/>
      <c r="D5" s="871"/>
      <c r="E5" s="871"/>
      <c r="F5" s="871"/>
    </row>
    <row r="6" spans="1:23" ht="14.25" customHeight="1" thickBot="1">
      <c r="B6" t="s">
        <v>106</v>
      </c>
      <c r="E6" t="s">
        <v>106</v>
      </c>
    </row>
    <row r="7" spans="1:23" ht="42.75" customHeight="1" thickTop="1" thickBot="1">
      <c r="B7" s="490" t="s">
        <v>108</v>
      </c>
      <c r="C7" s="491" t="s">
        <v>293</v>
      </c>
      <c r="D7" s="492" t="s">
        <v>290</v>
      </c>
      <c r="E7" s="492" t="s">
        <v>291</v>
      </c>
      <c r="F7" s="810" t="s">
        <v>599</v>
      </c>
      <c r="G7" s="492" t="s">
        <v>292</v>
      </c>
      <c r="K7" s="802" t="s">
        <v>428</v>
      </c>
      <c r="L7" s="803"/>
      <c r="M7" s="803"/>
      <c r="N7" s="804"/>
      <c r="O7" s="934">
        <v>2025</v>
      </c>
      <c r="P7" s="935"/>
      <c r="Q7" s="935"/>
      <c r="R7" s="936"/>
      <c r="S7" s="802"/>
      <c r="T7" s="803"/>
      <c r="U7" s="803"/>
      <c r="V7" s="804"/>
      <c r="W7" s="466"/>
    </row>
    <row r="8" spans="1:23" ht="18.75" thickBot="1">
      <c r="A8">
        <v>1</v>
      </c>
      <c r="B8" s="493" t="s">
        <v>278</v>
      </c>
      <c r="C8" s="479" t="s">
        <v>212</v>
      </c>
      <c r="D8" s="494">
        <v>0.96809999999999996</v>
      </c>
      <c r="E8" s="481">
        <v>0.97040000000000004</v>
      </c>
      <c r="F8" s="481">
        <v>0.97040000000000004</v>
      </c>
      <c r="G8" s="482">
        <v>0.88470000000000004</v>
      </c>
      <c r="K8" s="465" t="s">
        <v>429</v>
      </c>
      <c r="L8" s="466" t="s">
        <v>278</v>
      </c>
      <c r="M8" s="466" t="s">
        <v>279</v>
      </c>
      <c r="N8" s="466" t="s">
        <v>280</v>
      </c>
      <c r="O8" s="466" t="s">
        <v>281</v>
      </c>
      <c r="P8" s="466" t="s">
        <v>282</v>
      </c>
      <c r="Q8" s="466" t="s">
        <v>283</v>
      </c>
      <c r="R8" s="466" t="s">
        <v>284</v>
      </c>
      <c r="S8" s="466" t="s">
        <v>285</v>
      </c>
      <c r="T8" s="466" t="s">
        <v>286</v>
      </c>
      <c r="U8" s="466" t="s">
        <v>287</v>
      </c>
      <c r="V8" s="466" t="s">
        <v>288</v>
      </c>
      <c r="W8" s="466" t="s">
        <v>289</v>
      </c>
    </row>
    <row r="9" spans="1:23" ht="24.75" customHeight="1" thickTop="1" thickBot="1">
      <c r="A9">
        <v>2</v>
      </c>
      <c r="B9" s="495" t="s">
        <v>278</v>
      </c>
      <c r="C9" s="477" t="s">
        <v>211</v>
      </c>
      <c r="D9" s="313">
        <v>0.94450000000000001</v>
      </c>
      <c r="E9" s="314">
        <v>0.97260000000000002</v>
      </c>
      <c r="F9" s="314">
        <v>0.94520000000000004</v>
      </c>
      <c r="G9" s="484">
        <v>0.86199999999999999</v>
      </c>
      <c r="K9" s="467" t="s">
        <v>430</v>
      </c>
      <c r="L9" s="468">
        <v>1121</v>
      </c>
      <c r="M9" s="468">
        <v>1014</v>
      </c>
      <c r="N9" s="468">
        <v>1158</v>
      </c>
      <c r="O9" s="468">
        <v>1069</v>
      </c>
      <c r="P9" s="468">
        <v>1106</v>
      </c>
      <c r="Q9" s="468">
        <v>1087</v>
      </c>
      <c r="R9" s="468"/>
      <c r="S9" s="468"/>
      <c r="T9" s="468"/>
      <c r="U9" s="468"/>
      <c r="V9" s="468"/>
      <c r="W9" s="468"/>
    </row>
    <row r="10" spans="1:23" ht="23.25" customHeight="1" thickTop="1" thickBot="1">
      <c r="A10">
        <v>3</v>
      </c>
      <c r="B10" s="495" t="s">
        <v>278</v>
      </c>
      <c r="C10" s="477" t="s">
        <v>259</v>
      </c>
      <c r="D10" s="313">
        <v>0.93110000000000004</v>
      </c>
      <c r="E10" s="314">
        <v>0.98309999999999997</v>
      </c>
      <c r="F10" s="314">
        <v>0.93220000000000003</v>
      </c>
      <c r="G10" s="484">
        <v>0.90049999999999997</v>
      </c>
      <c r="K10" s="467" t="s">
        <v>431</v>
      </c>
      <c r="L10" s="469">
        <v>68</v>
      </c>
      <c r="M10" s="469">
        <v>43</v>
      </c>
      <c r="N10" s="469">
        <v>42</v>
      </c>
      <c r="O10" s="469">
        <v>72</v>
      </c>
      <c r="P10" s="469">
        <v>83</v>
      </c>
      <c r="Q10" s="469">
        <v>86</v>
      </c>
      <c r="R10" s="469"/>
      <c r="S10" s="469"/>
      <c r="T10" s="469"/>
      <c r="U10" s="469"/>
      <c r="V10" s="469"/>
      <c r="W10" s="469"/>
    </row>
    <row r="11" spans="1:23" ht="24.75" customHeight="1" thickTop="1" thickBot="1">
      <c r="A11">
        <v>4</v>
      </c>
      <c r="B11" s="496" t="s">
        <v>278</v>
      </c>
      <c r="C11" s="486" t="s">
        <v>213</v>
      </c>
      <c r="D11" s="497">
        <v>0.6855</v>
      </c>
      <c r="E11" s="488">
        <v>0.78180000000000005</v>
      </c>
      <c r="F11" s="488">
        <v>0.70909999999999995</v>
      </c>
      <c r="G11" s="489">
        <v>0.90439999999999998</v>
      </c>
      <c r="K11" s="805"/>
      <c r="L11" s="806"/>
      <c r="M11" s="806"/>
      <c r="N11" s="806"/>
      <c r="O11" s="806"/>
      <c r="P11" s="806"/>
      <c r="Q11" s="806"/>
      <c r="R11" s="806"/>
      <c r="S11" s="806"/>
      <c r="T11" s="806"/>
      <c r="U11" s="806"/>
      <c r="V11" s="806"/>
      <c r="W11" s="806"/>
    </row>
    <row r="12" spans="1:23" ht="18.75" thickBot="1">
      <c r="C12" s="811" t="s">
        <v>49</v>
      </c>
      <c r="D12" s="809">
        <v>0.91569999999999996</v>
      </c>
      <c r="E12" s="807">
        <v>0.94940000000000002</v>
      </c>
      <c r="F12" s="807">
        <v>0.91990000000000005</v>
      </c>
      <c r="G12" s="808">
        <v>0.88170000000000004</v>
      </c>
    </row>
    <row r="13" spans="1:23" ht="25.35" customHeight="1">
      <c r="A13">
        <v>5</v>
      </c>
      <c r="B13" s="478" t="s">
        <v>279</v>
      </c>
      <c r="C13" s="479" t="s">
        <v>212</v>
      </c>
      <c r="D13" s="480">
        <v>0.94930000000000003</v>
      </c>
      <c r="E13" s="481">
        <v>0.97330000000000005</v>
      </c>
      <c r="F13" s="481">
        <v>0.96889999999999998</v>
      </c>
      <c r="G13" s="482">
        <v>0.94699999999999995</v>
      </c>
      <c r="H13" s="315"/>
      <c r="N13" s="312"/>
      <c r="O13" s="312"/>
      <c r="P13" s="312"/>
    </row>
    <row r="14" spans="1:23" ht="25.35" customHeight="1" thickBot="1">
      <c r="A14">
        <v>6</v>
      </c>
      <c r="B14" s="483" t="s">
        <v>279</v>
      </c>
      <c r="C14" s="477" t="s">
        <v>211</v>
      </c>
      <c r="D14" s="476">
        <v>0.92600000000000005</v>
      </c>
      <c r="E14" s="314">
        <v>0.97440000000000004</v>
      </c>
      <c r="F14" s="314">
        <v>0.9597</v>
      </c>
      <c r="G14" s="484">
        <v>0.92959999999999998</v>
      </c>
      <c r="K14" s="318"/>
    </row>
    <row r="15" spans="1:23" ht="25.35" customHeight="1" thickBot="1">
      <c r="A15">
        <v>7</v>
      </c>
      <c r="B15" s="483" t="s">
        <v>279</v>
      </c>
      <c r="C15" s="477" t="s">
        <v>259</v>
      </c>
      <c r="D15" s="476">
        <v>0.9587</v>
      </c>
      <c r="E15" s="314">
        <v>1</v>
      </c>
      <c r="F15" s="314">
        <v>0.96130000000000004</v>
      </c>
      <c r="G15" s="484">
        <v>0.98399999999999999</v>
      </c>
      <c r="K15" s="708" t="s">
        <v>536</v>
      </c>
      <c r="L15" s="931" t="s">
        <v>535</v>
      </c>
      <c r="M15" s="931"/>
      <c r="N15" s="931"/>
      <c r="O15" s="931"/>
      <c r="P15" s="931"/>
      <c r="Q15" s="931"/>
      <c r="R15" s="933"/>
      <c r="S15" s="930"/>
      <c r="T15" s="931"/>
      <c r="U15" s="931"/>
      <c r="V15" s="932"/>
      <c r="W15" s="466"/>
    </row>
    <row r="16" spans="1:23" ht="25.35" customHeight="1" thickBot="1">
      <c r="A16">
        <v>8</v>
      </c>
      <c r="B16" s="485" t="s">
        <v>279</v>
      </c>
      <c r="C16" s="486" t="s">
        <v>213</v>
      </c>
      <c r="D16" s="487">
        <v>0.74409999999999998</v>
      </c>
      <c r="E16" s="488">
        <v>0.84950000000000003</v>
      </c>
      <c r="F16" s="488">
        <v>0.79569999999999996</v>
      </c>
      <c r="G16" s="489">
        <v>0.90910000000000002</v>
      </c>
      <c r="K16" s="465" t="s">
        <v>323</v>
      </c>
      <c r="L16" s="466" t="s">
        <v>278</v>
      </c>
      <c r="M16" s="466" t="s">
        <v>279</v>
      </c>
      <c r="N16" s="466" t="s">
        <v>280</v>
      </c>
      <c r="O16" s="466" t="s">
        <v>281</v>
      </c>
      <c r="P16" s="466" t="s">
        <v>282</v>
      </c>
      <c r="Q16" s="466" t="s">
        <v>283</v>
      </c>
      <c r="R16" s="466" t="s">
        <v>284</v>
      </c>
      <c r="S16" s="466" t="s">
        <v>285</v>
      </c>
      <c r="T16" s="466" t="s">
        <v>286</v>
      </c>
      <c r="U16" s="466" t="s">
        <v>287</v>
      </c>
      <c r="V16" s="466" t="s">
        <v>288</v>
      </c>
      <c r="W16" s="466" t="s">
        <v>289</v>
      </c>
    </row>
    <row r="17" spans="1:23" ht="25.35" customHeight="1" thickBot="1">
      <c r="B17" s="812"/>
      <c r="C17" s="502" t="s">
        <v>49</v>
      </c>
      <c r="D17" s="503">
        <v>0.91720000000000002</v>
      </c>
      <c r="E17" s="503">
        <v>0.96379999999999999</v>
      </c>
      <c r="F17" s="503">
        <v>0.94240000000000002</v>
      </c>
      <c r="G17" s="503">
        <v>0.90200000000000002</v>
      </c>
      <c r="K17" s="467" t="s">
        <v>531</v>
      </c>
      <c r="L17" s="468">
        <v>492</v>
      </c>
      <c r="M17" s="468">
        <v>436</v>
      </c>
      <c r="N17" s="468">
        <v>492</v>
      </c>
      <c r="O17" s="468">
        <v>437</v>
      </c>
      <c r="P17" s="468">
        <v>459</v>
      </c>
      <c r="Q17" s="468">
        <v>473</v>
      </c>
      <c r="R17" s="468"/>
      <c r="S17" s="468"/>
      <c r="T17" s="468"/>
      <c r="U17" s="468"/>
      <c r="V17" s="468"/>
      <c r="W17" s="468"/>
    </row>
    <row r="18" spans="1:23" ht="25.35" customHeight="1" thickBot="1">
      <c r="A18">
        <v>9</v>
      </c>
      <c r="B18" s="485" t="s">
        <v>280</v>
      </c>
      <c r="C18" s="479" t="s">
        <v>212</v>
      </c>
      <c r="D18" s="313">
        <v>0.97740000000000005</v>
      </c>
      <c r="E18" s="314">
        <v>0.9758</v>
      </c>
      <c r="F18" s="314">
        <v>0.9879</v>
      </c>
      <c r="G18" s="314">
        <v>0.95940000000000003</v>
      </c>
      <c r="K18" s="467" t="s">
        <v>532</v>
      </c>
      <c r="L18" s="469">
        <v>90.37</v>
      </c>
      <c r="M18" s="469">
        <v>89.21</v>
      </c>
      <c r="N18" s="469">
        <v>89.98</v>
      </c>
      <c r="O18" s="469">
        <v>88.43</v>
      </c>
      <c r="P18" s="469">
        <v>85.09</v>
      </c>
      <c r="Q18" s="469">
        <v>86.67</v>
      </c>
      <c r="R18" s="469"/>
      <c r="S18" s="469"/>
      <c r="T18" s="469"/>
      <c r="U18" s="469"/>
      <c r="V18" s="469"/>
      <c r="W18" s="469"/>
    </row>
    <row r="19" spans="1:23" ht="25.35" customHeight="1" thickBot="1">
      <c r="A19">
        <v>10</v>
      </c>
      <c r="B19" s="485" t="s">
        <v>280</v>
      </c>
      <c r="C19" s="477" t="s">
        <v>211</v>
      </c>
      <c r="D19" s="316">
        <v>0.96309999999999996</v>
      </c>
      <c r="E19" s="317">
        <v>0.97130000000000005</v>
      </c>
      <c r="F19" s="317">
        <v>0.96179999999999999</v>
      </c>
      <c r="G19" s="314">
        <v>0.98280000000000001</v>
      </c>
      <c r="K19" s="467" t="s">
        <v>533</v>
      </c>
      <c r="L19" s="469">
        <v>94.75</v>
      </c>
      <c r="M19" s="469">
        <v>95.68</v>
      </c>
      <c r="N19" s="469">
        <v>96.8</v>
      </c>
      <c r="O19" s="469">
        <v>92.82</v>
      </c>
      <c r="P19" s="469">
        <v>91.01</v>
      </c>
      <c r="Q19" s="469">
        <v>91.33</v>
      </c>
      <c r="R19" s="469"/>
      <c r="S19" s="469"/>
      <c r="T19" s="469"/>
      <c r="U19" s="469"/>
      <c r="V19" s="469"/>
      <c r="W19" s="469"/>
    </row>
    <row r="20" spans="1:23" ht="25.35" customHeight="1" thickBot="1">
      <c r="A20">
        <v>11</v>
      </c>
      <c r="B20" s="485" t="s">
        <v>280</v>
      </c>
      <c r="C20" s="477" t="s">
        <v>259</v>
      </c>
      <c r="D20" s="316">
        <v>0.9879</v>
      </c>
      <c r="E20" s="317">
        <v>0.9798</v>
      </c>
      <c r="F20" s="317">
        <v>0.98480000000000001</v>
      </c>
      <c r="G20" s="314">
        <v>0.98950000000000005</v>
      </c>
      <c r="K20" s="467" t="s">
        <v>534</v>
      </c>
      <c r="L20" s="469">
        <v>96.49</v>
      </c>
      <c r="M20" s="469">
        <v>97.12</v>
      </c>
      <c r="N20" s="469">
        <v>96.38</v>
      </c>
      <c r="O20" s="469">
        <v>97.45</v>
      </c>
      <c r="P20" s="469">
        <v>97.35</v>
      </c>
      <c r="Q20" s="469">
        <v>96</v>
      </c>
      <c r="R20" s="469"/>
      <c r="S20" s="469"/>
      <c r="T20" s="469"/>
      <c r="U20" s="469"/>
      <c r="V20" s="469"/>
      <c r="W20" s="469"/>
    </row>
    <row r="21" spans="1:23" ht="18.75" thickBot="1">
      <c r="A21">
        <v>12</v>
      </c>
      <c r="B21" s="485" t="s">
        <v>280</v>
      </c>
      <c r="C21" s="486" t="s">
        <v>213</v>
      </c>
      <c r="D21" s="319">
        <v>0.7581</v>
      </c>
      <c r="E21" s="320">
        <v>0.9143</v>
      </c>
      <c r="F21" s="320">
        <v>0.77139999999999997</v>
      </c>
      <c r="G21" s="320">
        <v>0.93500000000000005</v>
      </c>
      <c r="H21" s="321"/>
      <c r="K21" s="927" t="s">
        <v>537</v>
      </c>
      <c r="L21" s="928"/>
      <c r="M21" s="928"/>
      <c r="N21" s="928"/>
      <c r="O21" s="928"/>
      <c r="P21" s="928"/>
      <c r="Q21" s="928"/>
      <c r="R21" s="928"/>
      <c r="S21" s="928"/>
      <c r="T21" s="928"/>
      <c r="U21" s="928"/>
      <c r="V21" s="928"/>
      <c r="W21" s="929"/>
    </row>
    <row r="22" spans="1:23" ht="18.75" thickBot="1">
      <c r="A22">
        <v>13</v>
      </c>
      <c r="C22" s="502" t="s">
        <v>49</v>
      </c>
      <c r="D22" s="503">
        <v>0.94799999999999995</v>
      </c>
      <c r="E22" s="503">
        <v>0.96760000000000002</v>
      </c>
      <c r="F22" s="503">
        <v>0.95140000000000002</v>
      </c>
      <c r="G22" s="503">
        <v>0.97050000000000003</v>
      </c>
      <c r="I22" s="121"/>
      <c r="K22" s="467" t="s">
        <v>531</v>
      </c>
      <c r="L22" s="469">
        <v>70</v>
      </c>
      <c r="M22" s="469">
        <v>62</v>
      </c>
      <c r="N22" s="469">
        <v>70</v>
      </c>
      <c r="O22" s="469">
        <v>62</v>
      </c>
      <c r="P22" s="469">
        <v>66</v>
      </c>
      <c r="Q22" s="469">
        <v>68</v>
      </c>
      <c r="R22" s="469"/>
      <c r="S22" s="469"/>
      <c r="T22" s="469"/>
      <c r="U22" s="469"/>
      <c r="V22" s="469"/>
      <c r="W22" s="469"/>
    </row>
    <row r="23" spans="1:23" ht="18.75" thickBot="1">
      <c r="A23">
        <v>14</v>
      </c>
      <c r="B23" s="485" t="s">
        <v>281</v>
      </c>
      <c r="C23" s="479" t="s">
        <v>212</v>
      </c>
      <c r="D23" s="313">
        <v>0.96279999999999999</v>
      </c>
      <c r="E23" s="314">
        <v>0.98229999999999995</v>
      </c>
      <c r="F23" s="314">
        <v>0.96460000000000001</v>
      </c>
      <c r="G23" s="314">
        <v>0.94869999999999999</v>
      </c>
      <c r="I23" s="52"/>
      <c r="K23" s="467" t="s">
        <v>532</v>
      </c>
      <c r="L23" s="469">
        <v>97.65</v>
      </c>
      <c r="M23" s="469">
        <v>97.47</v>
      </c>
      <c r="N23" s="469">
        <v>100</v>
      </c>
      <c r="O23" s="469">
        <v>95.31</v>
      </c>
      <c r="P23" s="469">
        <v>100</v>
      </c>
      <c r="Q23" s="469">
        <v>97.75</v>
      </c>
      <c r="R23" s="469"/>
      <c r="S23" s="469"/>
      <c r="T23" s="469"/>
      <c r="U23" s="469"/>
      <c r="V23" s="469"/>
      <c r="W23" s="469"/>
    </row>
    <row r="24" spans="1:23" ht="21.75" customHeight="1" thickBot="1">
      <c r="A24">
        <v>15</v>
      </c>
      <c r="B24" s="485" t="s">
        <v>281</v>
      </c>
      <c r="C24" s="477" t="s">
        <v>211</v>
      </c>
      <c r="D24" s="316">
        <v>0.91649999999999998</v>
      </c>
      <c r="E24" s="317">
        <v>0.97440000000000004</v>
      </c>
      <c r="F24" s="317">
        <v>0.90839999999999999</v>
      </c>
      <c r="G24" s="314">
        <v>0.95850000000000002</v>
      </c>
      <c r="I24" s="121"/>
      <c r="K24" s="467" t="s">
        <v>533</v>
      </c>
      <c r="L24" s="469">
        <v>100</v>
      </c>
      <c r="M24" s="469">
        <v>100</v>
      </c>
      <c r="N24" s="469">
        <v>100</v>
      </c>
      <c r="O24" s="469">
        <v>96.88</v>
      </c>
      <c r="P24" s="469">
        <v>100</v>
      </c>
      <c r="Q24" s="469">
        <v>97.75</v>
      </c>
      <c r="R24" s="469"/>
      <c r="S24" s="469"/>
      <c r="T24" s="469"/>
      <c r="U24" s="469"/>
      <c r="V24" s="797"/>
      <c r="W24" s="469"/>
    </row>
    <row r="25" spans="1:23" ht="18.75" thickBot="1">
      <c r="A25">
        <v>16</v>
      </c>
      <c r="B25" s="485" t="s">
        <v>281</v>
      </c>
      <c r="C25" s="477" t="s">
        <v>259</v>
      </c>
      <c r="D25" s="316">
        <v>0.93869999999999998</v>
      </c>
      <c r="E25" s="317">
        <v>0.97989999999999999</v>
      </c>
      <c r="F25" s="317">
        <v>0.93969999999999998</v>
      </c>
      <c r="G25" s="314">
        <v>1</v>
      </c>
      <c r="I25" s="121"/>
      <c r="K25" s="467" t="s">
        <v>534</v>
      </c>
      <c r="L25" s="469">
        <v>98.82</v>
      </c>
      <c r="M25" s="469">
        <v>98.73</v>
      </c>
      <c r="N25" s="469">
        <v>100</v>
      </c>
      <c r="O25" s="469">
        <v>98.44</v>
      </c>
      <c r="P25" s="469">
        <v>98.51</v>
      </c>
      <c r="Q25" s="469">
        <v>98.88</v>
      </c>
      <c r="R25" s="469"/>
      <c r="S25" s="469"/>
      <c r="T25" s="469"/>
      <c r="U25" s="469"/>
      <c r="V25" s="469"/>
      <c r="W25" s="469"/>
    </row>
    <row r="26" spans="1:23" ht="18.75" thickBot="1">
      <c r="B26" s="485" t="s">
        <v>281</v>
      </c>
      <c r="C26" s="486" t="s">
        <v>213</v>
      </c>
      <c r="D26" s="319">
        <v>0.69430000000000003</v>
      </c>
      <c r="E26" s="320">
        <v>0.86209999999999998</v>
      </c>
      <c r="F26" s="320">
        <v>0.68969999999999998</v>
      </c>
      <c r="G26" s="320">
        <v>0.90629999999999999</v>
      </c>
      <c r="H26" s="500"/>
      <c r="I26" s="500"/>
      <c r="J26" s="500"/>
      <c r="K26" s="927" t="s">
        <v>538</v>
      </c>
      <c r="L26" s="928"/>
      <c r="M26" s="928"/>
      <c r="N26" s="928"/>
      <c r="O26" s="928"/>
      <c r="P26" s="928"/>
      <c r="Q26" s="928"/>
      <c r="R26" s="928"/>
      <c r="S26" s="928"/>
      <c r="T26" s="928"/>
      <c r="U26" s="928"/>
      <c r="V26" s="928"/>
      <c r="W26" s="929"/>
    </row>
    <row r="27" spans="1:23" ht="18.75" thickBot="1">
      <c r="A27">
        <v>17</v>
      </c>
      <c r="C27" s="502" t="s">
        <v>49</v>
      </c>
      <c r="D27" s="503">
        <v>0.91080000000000005</v>
      </c>
      <c r="E27" s="503">
        <v>0.96560000000000001</v>
      </c>
      <c r="F27" s="503">
        <v>0.9083</v>
      </c>
      <c r="G27" s="503">
        <v>0.95840000000000003</v>
      </c>
      <c r="I27" s="121"/>
      <c r="K27" s="467" t="s">
        <v>531</v>
      </c>
      <c r="L27" s="469">
        <v>177</v>
      </c>
      <c r="M27" s="469">
        <v>155</v>
      </c>
      <c r="N27" s="469">
        <v>198</v>
      </c>
      <c r="O27" s="469">
        <v>199</v>
      </c>
      <c r="P27" s="469">
        <v>198</v>
      </c>
      <c r="Q27" s="469">
        <v>188</v>
      </c>
      <c r="R27" s="469"/>
      <c r="S27" s="469"/>
      <c r="T27" s="469"/>
      <c r="U27" s="469"/>
      <c r="V27" s="469"/>
      <c r="W27" s="469"/>
    </row>
    <row r="28" spans="1:23" ht="18.75" thickBot="1">
      <c r="A28">
        <v>18</v>
      </c>
      <c r="B28" s="485" t="s">
        <v>282</v>
      </c>
      <c r="C28" s="479" t="s">
        <v>212</v>
      </c>
      <c r="D28" s="313">
        <v>0.95250000000000001</v>
      </c>
      <c r="E28" s="314">
        <v>0.97919999999999996</v>
      </c>
      <c r="F28" s="314">
        <v>0.95830000000000004</v>
      </c>
      <c r="G28" s="314">
        <v>0.94430000000000003</v>
      </c>
      <c r="K28" s="467" t="s">
        <v>532</v>
      </c>
      <c r="L28" s="469">
        <v>93.11</v>
      </c>
      <c r="M28" s="469">
        <v>95.87</v>
      </c>
      <c r="N28" s="469">
        <v>98.79</v>
      </c>
      <c r="O28" s="469">
        <v>93.87</v>
      </c>
      <c r="P28" s="469">
        <v>96.16</v>
      </c>
      <c r="Q28" s="469">
        <v>89.98</v>
      </c>
      <c r="R28" s="469"/>
      <c r="S28" s="469"/>
      <c r="T28" s="469"/>
      <c r="U28" s="469"/>
      <c r="V28" s="469"/>
      <c r="W28" s="469"/>
    </row>
    <row r="29" spans="1:23" ht="18.75" thickBot="1">
      <c r="A29">
        <v>19</v>
      </c>
      <c r="B29" s="485" t="s">
        <v>282</v>
      </c>
      <c r="C29" s="477" t="s">
        <v>211</v>
      </c>
      <c r="D29" s="316">
        <v>0.89400000000000002</v>
      </c>
      <c r="E29" s="317">
        <v>0.97540000000000004</v>
      </c>
      <c r="F29" s="317">
        <v>0.89119999999999999</v>
      </c>
      <c r="G29" s="314">
        <v>0.95889999999999997</v>
      </c>
      <c r="H29" s="121"/>
      <c r="K29" s="467" t="s">
        <v>533</v>
      </c>
      <c r="L29" s="469">
        <v>93.22</v>
      </c>
      <c r="M29" s="469">
        <v>96.13</v>
      </c>
      <c r="N29" s="469">
        <v>98.48</v>
      </c>
      <c r="O29" s="469">
        <v>93.97</v>
      </c>
      <c r="P29" s="469">
        <v>95.45</v>
      </c>
      <c r="Q29" s="469">
        <v>90.43</v>
      </c>
      <c r="R29" s="469"/>
      <c r="S29" s="469"/>
      <c r="T29" s="469"/>
      <c r="U29" s="469"/>
      <c r="V29" s="469"/>
      <c r="W29" s="469"/>
    </row>
    <row r="30" spans="1:23" ht="18.75" thickBot="1">
      <c r="A30">
        <v>20</v>
      </c>
      <c r="B30" s="485" t="s">
        <v>282</v>
      </c>
      <c r="C30" s="477" t="s">
        <v>259</v>
      </c>
      <c r="D30" s="316">
        <v>0.96160000000000001</v>
      </c>
      <c r="E30" s="317">
        <v>0.97470000000000001</v>
      </c>
      <c r="F30" s="317">
        <v>0.95450000000000002</v>
      </c>
      <c r="G30" s="314">
        <v>0.99099999999999999</v>
      </c>
      <c r="K30" s="467" t="s">
        <v>534</v>
      </c>
      <c r="L30" s="469">
        <v>98.31</v>
      </c>
      <c r="M30" s="469">
        <v>100</v>
      </c>
      <c r="N30" s="469">
        <v>97.98</v>
      </c>
      <c r="O30" s="469">
        <v>97.99</v>
      </c>
      <c r="P30" s="469">
        <v>97.47</v>
      </c>
      <c r="Q30" s="469">
        <v>97.34</v>
      </c>
      <c r="R30" s="469"/>
      <c r="S30" s="469"/>
      <c r="T30" s="469"/>
      <c r="U30" s="469"/>
      <c r="V30" s="469"/>
      <c r="W30" s="469"/>
    </row>
    <row r="31" spans="1:23" ht="18.75" thickBot="1">
      <c r="B31" s="485" t="s">
        <v>282</v>
      </c>
      <c r="C31" s="501" t="s">
        <v>213</v>
      </c>
      <c r="D31" s="316">
        <v>0.69399999999999995</v>
      </c>
      <c r="E31" s="317">
        <v>0.78</v>
      </c>
      <c r="F31" s="317">
        <v>0.67</v>
      </c>
      <c r="G31" s="317">
        <v>0.90010000000000001</v>
      </c>
      <c r="K31" s="927" t="s">
        <v>539</v>
      </c>
      <c r="L31" s="928"/>
      <c r="M31" s="928"/>
      <c r="N31" s="928"/>
      <c r="O31" s="928"/>
      <c r="P31" s="928"/>
      <c r="Q31" s="928"/>
      <c r="R31" s="928"/>
      <c r="S31" s="928"/>
      <c r="T31" s="928"/>
      <c r="U31" s="928"/>
      <c r="V31" s="928"/>
      <c r="W31" s="929"/>
    </row>
    <row r="32" spans="1:23" ht="18.75" thickBot="1">
      <c r="A32">
        <v>21</v>
      </c>
      <c r="C32" s="502" t="s">
        <v>49</v>
      </c>
      <c r="D32" s="503">
        <v>0.90300000000000002</v>
      </c>
      <c r="E32" s="503">
        <v>0.9526</v>
      </c>
      <c r="F32" s="503">
        <v>0.89910000000000001</v>
      </c>
      <c r="G32" s="503">
        <v>0.95420000000000005</v>
      </c>
      <c r="K32" s="467" t="s">
        <v>531</v>
      </c>
      <c r="L32" s="469">
        <v>110</v>
      </c>
      <c r="M32" s="469">
        <v>93</v>
      </c>
      <c r="N32" s="469">
        <v>105</v>
      </c>
      <c r="O32" s="469">
        <v>87</v>
      </c>
      <c r="P32" s="469">
        <v>100</v>
      </c>
      <c r="Q32" s="469">
        <v>85</v>
      </c>
      <c r="R32" s="469"/>
      <c r="S32" s="469"/>
      <c r="T32" s="469"/>
      <c r="U32" s="469"/>
      <c r="V32" s="469"/>
      <c r="W32" s="469"/>
    </row>
    <row r="33" spans="1:23" ht="18.75" thickBot="1">
      <c r="A33">
        <v>22</v>
      </c>
      <c r="B33" s="485" t="s">
        <v>283</v>
      </c>
      <c r="C33" s="479" t="s">
        <v>212</v>
      </c>
      <c r="D33" s="313">
        <v>0.97089999999999999</v>
      </c>
      <c r="E33" s="314">
        <v>0.95950000000000002</v>
      </c>
      <c r="F33" s="314">
        <v>0.96760000000000002</v>
      </c>
      <c r="G33" s="314">
        <v>0.94620000000000004</v>
      </c>
      <c r="K33" s="467" t="s">
        <v>532</v>
      </c>
      <c r="L33" s="469">
        <v>68.55</v>
      </c>
      <c r="M33" s="469">
        <v>74.41</v>
      </c>
      <c r="N33" s="469">
        <v>75.81</v>
      </c>
      <c r="O33" s="469">
        <v>69.430000000000007</v>
      </c>
      <c r="P33" s="469">
        <v>69.400000000000006</v>
      </c>
      <c r="Q33" s="469">
        <v>73.41</v>
      </c>
      <c r="R33" s="469"/>
      <c r="S33" s="469"/>
      <c r="T33" s="469"/>
      <c r="U33" s="469"/>
      <c r="V33" s="469"/>
      <c r="W33" s="469"/>
    </row>
    <row r="34" spans="1:23" ht="18.75" thickBot="1">
      <c r="A34">
        <v>23</v>
      </c>
      <c r="B34" s="485" t="s">
        <v>283</v>
      </c>
      <c r="C34" s="477" t="s">
        <v>211</v>
      </c>
      <c r="D34" s="316">
        <v>0.8952</v>
      </c>
      <c r="E34" s="317">
        <v>0.96599999999999997</v>
      </c>
      <c r="F34" s="317">
        <v>0.88780000000000003</v>
      </c>
      <c r="G34" s="314">
        <v>0.9607</v>
      </c>
      <c r="K34" s="467" t="s">
        <v>533</v>
      </c>
      <c r="L34" s="469">
        <v>70.91</v>
      </c>
      <c r="M34" s="469">
        <v>79.569999999999993</v>
      </c>
      <c r="N34" s="469">
        <v>77.14</v>
      </c>
      <c r="O34" s="469">
        <v>68.97</v>
      </c>
      <c r="P34" s="469">
        <v>67</v>
      </c>
      <c r="Q34" s="469">
        <v>68.239999999999995</v>
      </c>
      <c r="R34" s="469"/>
      <c r="S34" s="469"/>
      <c r="T34" s="469"/>
      <c r="U34" s="469"/>
      <c r="V34" s="469"/>
      <c r="W34" s="469"/>
    </row>
    <row r="35" spans="1:23" ht="18.75" thickBot="1">
      <c r="A35">
        <v>24</v>
      </c>
      <c r="B35" s="485" t="s">
        <v>283</v>
      </c>
      <c r="C35" s="477" t="s">
        <v>259</v>
      </c>
      <c r="D35" s="316">
        <v>0.89890000000000003</v>
      </c>
      <c r="E35" s="317">
        <v>0.97340000000000004</v>
      </c>
      <c r="F35" s="317">
        <v>0.90429999999999999</v>
      </c>
      <c r="G35" s="314">
        <v>1</v>
      </c>
      <c r="K35" s="467" t="s">
        <v>534</v>
      </c>
      <c r="L35" s="469">
        <v>78.180000000000007</v>
      </c>
      <c r="M35" s="469">
        <v>84.95</v>
      </c>
      <c r="N35" s="469">
        <v>91.43</v>
      </c>
      <c r="O35" s="469">
        <v>86.21</v>
      </c>
      <c r="P35" s="469">
        <v>78</v>
      </c>
      <c r="Q35" s="469">
        <v>84.71</v>
      </c>
      <c r="R35" s="469"/>
      <c r="S35" s="469"/>
      <c r="T35" s="469"/>
      <c r="U35" s="469"/>
      <c r="V35" s="469"/>
      <c r="W35" s="469"/>
    </row>
    <row r="36" spans="1:23" ht="18.75" thickBot="1">
      <c r="A36">
        <v>25</v>
      </c>
      <c r="B36" s="485" t="s">
        <v>283</v>
      </c>
      <c r="C36" s="501" t="s">
        <v>213</v>
      </c>
      <c r="D36" s="316">
        <v>0.73409999999999997</v>
      </c>
      <c r="E36" s="317">
        <v>0.84709999999999996</v>
      </c>
      <c r="F36" s="317">
        <v>0.68240000000000001</v>
      </c>
      <c r="G36" s="317">
        <v>0.88680000000000003</v>
      </c>
      <c r="K36" s="927" t="s">
        <v>540</v>
      </c>
      <c r="L36" s="928"/>
      <c r="M36" s="928"/>
      <c r="N36" s="928"/>
      <c r="O36" s="928"/>
      <c r="P36" s="928"/>
      <c r="Q36" s="928"/>
      <c r="R36" s="928"/>
      <c r="S36" s="928"/>
      <c r="T36" s="928"/>
      <c r="U36" s="928"/>
      <c r="V36" s="928"/>
      <c r="W36" s="929"/>
    </row>
    <row r="37" spans="1:23" ht="18.75" thickBot="1">
      <c r="A37">
        <v>26</v>
      </c>
      <c r="C37" s="502" t="s">
        <v>49</v>
      </c>
      <c r="D37" s="503">
        <v>0.9022</v>
      </c>
      <c r="E37" s="503">
        <v>0.95330000000000004</v>
      </c>
      <c r="F37" s="503">
        <v>0.89429999999999998</v>
      </c>
      <c r="G37" s="503">
        <v>0.95489999999999997</v>
      </c>
      <c r="K37" s="467" t="s">
        <v>531</v>
      </c>
      <c r="L37" s="469">
        <v>849</v>
      </c>
      <c r="M37" s="469">
        <v>746</v>
      </c>
      <c r="N37" s="469">
        <v>865</v>
      </c>
      <c r="O37" s="469">
        <v>785</v>
      </c>
      <c r="P37" s="469">
        <v>823</v>
      </c>
      <c r="Q37" s="469">
        <v>814</v>
      </c>
      <c r="R37" s="469"/>
      <c r="S37" s="469"/>
      <c r="T37" s="469"/>
      <c r="U37" s="469"/>
      <c r="V37" s="469"/>
      <c r="W37" s="469"/>
    </row>
    <row r="38" spans="1:23" ht="18.75" thickBot="1">
      <c r="A38">
        <v>27</v>
      </c>
      <c r="B38" s="485" t="s">
        <v>284</v>
      </c>
      <c r="C38" s="479" t="s">
        <v>212</v>
      </c>
      <c r="D38" s="313"/>
      <c r="E38" s="314"/>
      <c r="F38" s="314"/>
      <c r="G38" s="314"/>
      <c r="K38" s="467" t="s">
        <v>532</v>
      </c>
      <c r="L38" s="469">
        <v>91.57</v>
      </c>
      <c r="M38" s="469">
        <v>91.72</v>
      </c>
      <c r="N38" s="469">
        <v>94.8</v>
      </c>
      <c r="O38" s="469">
        <v>91.08</v>
      </c>
      <c r="P38" s="469">
        <v>90.3</v>
      </c>
      <c r="Q38" s="469">
        <v>90.22</v>
      </c>
      <c r="R38" s="469"/>
      <c r="S38" s="469"/>
      <c r="T38" s="469"/>
      <c r="U38" s="469"/>
      <c r="V38" s="797"/>
      <c r="W38" s="469"/>
    </row>
    <row r="39" spans="1:23" ht="18.75" thickBot="1">
      <c r="A39">
        <v>28</v>
      </c>
      <c r="B39" s="485" t="s">
        <v>284</v>
      </c>
      <c r="C39" s="477" t="s">
        <v>211</v>
      </c>
      <c r="D39" s="316"/>
      <c r="E39" s="317"/>
      <c r="F39" s="317"/>
      <c r="G39" s="314"/>
      <c r="K39" s="467" t="s">
        <v>533</v>
      </c>
      <c r="L39" s="469">
        <v>91.99</v>
      </c>
      <c r="M39" s="469">
        <v>94.24</v>
      </c>
      <c r="N39" s="469">
        <v>95.14</v>
      </c>
      <c r="O39" s="469">
        <v>90.83</v>
      </c>
      <c r="P39" s="469">
        <v>89.91</v>
      </c>
      <c r="Q39" s="469">
        <v>89.43</v>
      </c>
      <c r="R39" s="469"/>
      <c r="S39" s="469"/>
      <c r="T39" s="469"/>
      <c r="U39" s="469"/>
      <c r="V39" s="797"/>
      <c r="W39" s="469"/>
    </row>
    <row r="40" spans="1:23" ht="18.75" thickBot="1">
      <c r="A40">
        <v>29</v>
      </c>
      <c r="B40" s="485" t="s">
        <v>284</v>
      </c>
      <c r="C40" s="477" t="s">
        <v>259</v>
      </c>
      <c r="D40" s="316"/>
      <c r="E40" s="317"/>
      <c r="F40" s="317"/>
      <c r="G40" s="314"/>
      <c r="K40" s="467" t="s">
        <v>534</v>
      </c>
      <c r="L40" s="469">
        <v>94.94</v>
      </c>
      <c r="M40" s="469">
        <v>96.38</v>
      </c>
      <c r="N40" s="469">
        <v>96.76</v>
      </c>
      <c r="O40" s="469">
        <v>96.56</v>
      </c>
      <c r="P40" s="469">
        <v>95.26</v>
      </c>
      <c r="Q40" s="469">
        <v>95.33</v>
      </c>
      <c r="R40" s="469"/>
      <c r="S40" s="469"/>
      <c r="T40" s="469"/>
      <c r="U40" s="469"/>
      <c r="V40" s="469"/>
      <c r="W40" s="469"/>
    </row>
    <row r="41" spans="1:23" ht="18.75" thickBot="1">
      <c r="A41">
        <v>30</v>
      </c>
      <c r="B41" s="485" t="s">
        <v>284</v>
      </c>
      <c r="C41" s="501" t="s">
        <v>213</v>
      </c>
      <c r="D41" s="316"/>
      <c r="E41" s="317"/>
      <c r="F41" s="317"/>
      <c r="G41" s="317"/>
    </row>
    <row r="42" spans="1:23" ht="18.75" thickBot="1">
      <c r="A42">
        <v>31</v>
      </c>
      <c r="C42" s="502" t="s">
        <v>49</v>
      </c>
      <c r="D42" s="503"/>
      <c r="E42" s="503"/>
      <c r="F42" s="503"/>
      <c r="G42" s="503"/>
    </row>
    <row r="43" spans="1:23" ht="18.75" thickBot="1">
      <c r="A43">
        <v>32</v>
      </c>
      <c r="B43" s="485" t="s">
        <v>285</v>
      </c>
      <c r="C43" s="479" t="s">
        <v>212</v>
      </c>
      <c r="D43" s="313"/>
      <c r="E43" s="314"/>
      <c r="F43" s="314"/>
      <c r="G43" s="314"/>
    </row>
    <row r="44" spans="1:23" ht="18.75" thickBot="1">
      <c r="A44">
        <v>33</v>
      </c>
      <c r="B44" s="485" t="s">
        <v>285</v>
      </c>
      <c r="C44" s="477" t="s">
        <v>211</v>
      </c>
      <c r="D44" s="316"/>
      <c r="E44" s="317"/>
      <c r="F44" s="317"/>
      <c r="G44" s="314"/>
    </row>
    <row r="45" spans="1:23" ht="18.75" thickBot="1">
      <c r="A45">
        <v>34</v>
      </c>
      <c r="B45" s="485" t="s">
        <v>285</v>
      </c>
      <c r="C45" s="477" t="s">
        <v>259</v>
      </c>
      <c r="D45" s="316"/>
      <c r="E45" s="317"/>
      <c r="F45" s="317"/>
      <c r="G45" s="314"/>
    </row>
    <row r="46" spans="1:23" ht="18.75" thickBot="1">
      <c r="A46">
        <v>35</v>
      </c>
      <c r="B46" s="485" t="s">
        <v>285</v>
      </c>
      <c r="C46" s="501" t="s">
        <v>213</v>
      </c>
      <c r="D46" s="316"/>
      <c r="E46" s="317"/>
      <c r="F46" s="317"/>
      <c r="G46" s="317"/>
    </row>
    <row r="47" spans="1:23" ht="18.75" thickBot="1">
      <c r="A47">
        <v>36</v>
      </c>
      <c r="C47" s="502" t="s">
        <v>49</v>
      </c>
      <c r="D47" s="503"/>
      <c r="E47" s="503"/>
      <c r="F47" s="503"/>
      <c r="G47" s="503"/>
    </row>
    <row r="48" spans="1:23" ht="18.75" thickBot="1">
      <c r="A48">
        <v>37</v>
      </c>
      <c r="B48" s="485" t="s">
        <v>286</v>
      </c>
      <c r="C48" s="479" t="s">
        <v>212</v>
      </c>
      <c r="D48" s="313"/>
      <c r="E48" s="314"/>
      <c r="F48" s="314"/>
      <c r="G48" s="314"/>
    </row>
    <row r="49" spans="1:7" ht="18.75" thickBot="1">
      <c r="A49">
        <v>38</v>
      </c>
      <c r="B49" s="485" t="s">
        <v>286</v>
      </c>
      <c r="C49" s="477" t="s">
        <v>211</v>
      </c>
      <c r="D49" s="316"/>
      <c r="E49" s="317"/>
      <c r="F49" s="317"/>
      <c r="G49" s="314"/>
    </row>
    <row r="50" spans="1:7" ht="18.75" thickBot="1">
      <c r="A50">
        <v>39</v>
      </c>
      <c r="B50" s="485" t="s">
        <v>286</v>
      </c>
      <c r="C50" s="477" t="s">
        <v>259</v>
      </c>
      <c r="D50" s="316"/>
      <c r="E50" s="317"/>
      <c r="F50" s="317"/>
      <c r="G50" s="314"/>
    </row>
    <row r="51" spans="1:7" ht="18.75" thickBot="1">
      <c r="A51">
        <v>40</v>
      </c>
      <c r="B51" s="485" t="s">
        <v>286</v>
      </c>
      <c r="C51" s="501" t="s">
        <v>213</v>
      </c>
      <c r="D51" s="316"/>
      <c r="E51" s="317"/>
      <c r="F51" s="317"/>
      <c r="G51" s="317"/>
    </row>
    <row r="52" spans="1:7" ht="18.75" thickBot="1">
      <c r="A52">
        <v>41</v>
      </c>
      <c r="C52" s="502" t="s">
        <v>49</v>
      </c>
      <c r="D52" s="503"/>
      <c r="E52" s="503"/>
      <c r="F52" s="503"/>
      <c r="G52" s="503"/>
    </row>
    <row r="53" spans="1:7" ht="18.75" thickBot="1">
      <c r="A53">
        <v>42</v>
      </c>
      <c r="B53" s="485" t="s">
        <v>287</v>
      </c>
      <c r="C53" s="479" t="s">
        <v>212</v>
      </c>
      <c r="D53" s="313"/>
      <c r="E53" s="314"/>
      <c r="F53" s="314"/>
      <c r="G53" s="314"/>
    </row>
    <row r="54" spans="1:7" ht="18.75" thickBot="1">
      <c r="A54">
        <v>43</v>
      </c>
      <c r="B54" s="485" t="s">
        <v>287</v>
      </c>
      <c r="C54" s="477" t="s">
        <v>211</v>
      </c>
      <c r="D54" s="316"/>
      <c r="E54" s="317"/>
      <c r="F54" s="317"/>
      <c r="G54" s="314"/>
    </row>
    <row r="55" spans="1:7" ht="18.75" thickBot="1">
      <c r="A55">
        <v>44</v>
      </c>
      <c r="B55" s="485" t="s">
        <v>287</v>
      </c>
      <c r="C55" s="477" t="s">
        <v>259</v>
      </c>
      <c r="D55" s="316"/>
      <c r="E55" s="317"/>
      <c r="F55" s="317"/>
      <c r="G55" s="314"/>
    </row>
    <row r="56" spans="1:7" ht="18.75" thickBot="1">
      <c r="A56">
        <v>45</v>
      </c>
      <c r="B56" s="485" t="s">
        <v>287</v>
      </c>
      <c r="C56" s="501" t="s">
        <v>213</v>
      </c>
      <c r="D56" s="316"/>
      <c r="E56" s="317"/>
      <c r="F56" s="317"/>
      <c r="G56" s="317"/>
    </row>
    <row r="57" spans="1:7" ht="18.75" thickBot="1">
      <c r="A57">
        <v>46</v>
      </c>
      <c r="C57" s="502" t="s">
        <v>49</v>
      </c>
      <c r="D57" s="503"/>
      <c r="E57" s="503"/>
      <c r="F57" s="503"/>
      <c r="G57" s="503"/>
    </row>
    <row r="58" spans="1:7" ht="18.75" thickBot="1">
      <c r="A58">
        <v>47</v>
      </c>
      <c r="B58" s="485" t="s">
        <v>288</v>
      </c>
      <c r="C58" s="479" t="s">
        <v>212</v>
      </c>
      <c r="D58" s="313"/>
      <c r="E58" s="314"/>
      <c r="F58" s="314"/>
      <c r="G58" s="314"/>
    </row>
    <row r="59" spans="1:7" ht="18.75" thickBot="1">
      <c r="A59">
        <v>48</v>
      </c>
      <c r="B59" s="485" t="s">
        <v>288</v>
      </c>
      <c r="C59" s="477" t="s">
        <v>211</v>
      </c>
      <c r="D59" s="316"/>
      <c r="E59" s="317"/>
      <c r="F59" s="317"/>
      <c r="G59" s="314"/>
    </row>
    <row r="60" spans="1:7" ht="18.75" thickBot="1">
      <c r="A60">
        <v>49</v>
      </c>
      <c r="B60" s="485" t="s">
        <v>288</v>
      </c>
      <c r="C60" s="477" t="s">
        <v>259</v>
      </c>
      <c r="D60" s="316"/>
      <c r="E60" s="317"/>
      <c r="F60" s="317"/>
      <c r="G60" s="314"/>
    </row>
    <row r="61" spans="1:7" ht="18.75" thickBot="1">
      <c r="A61">
        <v>50</v>
      </c>
      <c r="B61" s="485" t="s">
        <v>288</v>
      </c>
      <c r="C61" s="501" t="s">
        <v>213</v>
      </c>
      <c r="D61" s="316"/>
      <c r="E61" s="317"/>
      <c r="F61" s="317"/>
      <c r="G61" s="317"/>
    </row>
    <row r="62" spans="1:7" ht="18.75" thickBot="1">
      <c r="A62">
        <v>51</v>
      </c>
      <c r="C62" s="502" t="s">
        <v>49</v>
      </c>
      <c r="D62" s="503"/>
      <c r="E62" s="503"/>
      <c r="F62" s="503"/>
      <c r="G62" s="503"/>
    </row>
    <row r="63" spans="1:7" ht="18.75" thickBot="1">
      <c r="A63">
        <v>52</v>
      </c>
      <c r="B63" s="485" t="s">
        <v>289</v>
      </c>
      <c r="C63" s="479" t="s">
        <v>212</v>
      </c>
      <c r="D63" s="313"/>
      <c r="E63" s="314"/>
      <c r="F63" s="314"/>
      <c r="G63" s="314"/>
    </row>
    <row r="64" spans="1:7" ht="18.75" thickBot="1">
      <c r="A64">
        <v>53</v>
      </c>
      <c r="B64" s="485" t="s">
        <v>289</v>
      </c>
      <c r="C64" s="477" t="s">
        <v>211</v>
      </c>
      <c r="D64" s="316"/>
      <c r="E64" s="317"/>
      <c r="F64" s="317"/>
      <c r="G64" s="314"/>
    </row>
    <row r="65" spans="1:7" ht="18.75" thickBot="1">
      <c r="A65">
        <v>54</v>
      </c>
      <c r="B65" s="485" t="s">
        <v>289</v>
      </c>
      <c r="C65" s="477" t="s">
        <v>259</v>
      </c>
      <c r="D65" s="316"/>
      <c r="E65" s="317"/>
      <c r="F65" s="317"/>
      <c r="G65" s="314"/>
    </row>
    <row r="66" spans="1:7" ht="18.75" thickBot="1">
      <c r="A66">
        <v>55</v>
      </c>
      <c r="B66" s="485" t="s">
        <v>289</v>
      </c>
      <c r="C66" s="501" t="s">
        <v>213</v>
      </c>
      <c r="D66" s="316"/>
      <c r="E66" s="317"/>
      <c r="F66" s="317"/>
      <c r="G66" s="317"/>
    </row>
    <row r="67" spans="1:7" ht="18">
      <c r="C67" s="502" t="s">
        <v>49</v>
      </c>
      <c r="D67" s="503"/>
      <c r="E67" s="503"/>
      <c r="F67" s="503"/>
      <c r="G67" s="503"/>
    </row>
    <row r="68" spans="1:7" ht="29.25" thickBot="1">
      <c r="A68">
        <v>1</v>
      </c>
      <c r="B68" s="524">
        <v>2024</v>
      </c>
      <c r="C68" s="522"/>
      <c r="D68" s="523"/>
      <c r="E68" s="523"/>
      <c r="F68" s="523"/>
      <c r="G68" s="523"/>
    </row>
    <row r="69" spans="1:7" ht="18.75" thickBot="1">
      <c r="A69">
        <v>2</v>
      </c>
      <c r="B69" s="485" t="s">
        <v>278</v>
      </c>
      <c r="C69" s="527" t="s">
        <v>212</v>
      </c>
      <c r="D69" s="528">
        <v>0.94899999999999995</v>
      </c>
      <c r="E69" s="528">
        <v>0.93269999999999997</v>
      </c>
      <c r="F69" s="528">
        <v>0.96630000000000005</v>
      </c>
      <c r="G69" s="528">
        <v>0.90869999999999995</v>
      </c>
    </row>
    <row r="70" spans="1:7" ht="18.75" thickBot="1">
      <c r="A70">
        <v>3</v>
      </c>
      <c r="B70" s="485" t="s">
        <v>278</v>
      </c>
      <c r="C70" s="477" t="s">
        <v>211</v>
      </c>
      <c r="D70" s="316">
        <v>0.93130000000000002</v>
      </c>
      <c r="E70" s="317">
        <v>0.94920000000000004</v>
      </c>
      <c r="F70" s="317">
        <v>0.94140000000000001</v>
      </c>
      <c r="G70" s="314">
        <v>0.97309999999999997</v>
      </c>
    </row>
    <row r="71" spans="1:7" ht="18.75" thickBot="1">
      <c r="A71">
        <v>4</v>
      </c>
      <c r="B71" s="485" t="s">
        <v>278</v>
      </c>
      <c r="C71" s="477" t="s">
        <v>259</v>
      </c>
      <c r="D71" s="316">
        <v>0.98260000000000003</v>
      </c>
      <c r="E71" s="317">
        <v>0.99460000000000004</v>
      </c>
      <c r="F71" s="317">
        <v>0.9728</v>
      </c>
      <c r="G71" s="314">
        <v>1</v>
      </c>
    </row>
    <row r="72" spans="1:7" ht="18.75" thickBot="1">
      <c r="A72">
        <v>5</v>
      </c>
      <c r="B72" s="485" t="s">
        <v>278</v>
      </c>
      <c r="C72" s="501" t="s">
        <v>213</v>
      </c>
      <c r="D72" s="316">
        <v>0.83530000000000004</v>
      </c>
      <c r="E72" s="317">
        <v>0.76470000000000005</v>
      </c>
      <c r="F72" s="317">
        <v>0.88239999999999996</v>
      </c>
      <c r="G72" s="317">
        <v>0.92</v>
      </c>
    </row>
    <row r="73" spans="1:7" ht="18.75" thickBot="1">
      <c r="A73">
        <v>6</v>
      </c>
      <c r="C73" s="502" t="s">
        <v>49</v>
      </c>
      <c r="D73" s="503">
        <v>0.9486</v>
      </c>
      <c r="E73" s="503">
        <v>0.95189999999999997</v>
      </c>
      <c r="F73" s="503">
        <v>0.95640000000000003</v>
      </c>
      <c r="G73" s="503">
        <v>0.95479999999999998</v>
      </c>
    </row>
    <row r="74" spans="1:7" ht="18.75" thickBot="1">
      <c r="A74">
        <v>7</v>
      </c>
      <c r="B74" s="485" t="s">
        <v>279</v>
      </c>
      <c r="C74" s="479" t="s">
        <v>212</v>
      </c>
      <c r="D74" s="313">
        <v>0.91400000000000003</v>
      </c>
      <c r="E74" s="314">
        <v>0.98</v>
      </c>
      <c r="F74" s="314">
        <v>0.94499999999999995</v>
      </c>
      <c r="G74" s="314">
        <v>0.95860000000000001</v>
      </c>
    </row>
    <row r="75" spans="1:7" ht="18.75" thickBot="1">
      <c r="A75">
        <v>8</v>
      </c>
      <c r="B75" s="485" t="s">
        <v>279</v>
      </c>
      <c r="C75" s="477" t="s">
        <v>211</v>
      </c>
      <c r="D75" s="316">
        <v>0.89780000000000004</v>
      </c>
      <c r="E75" s="317">
        <v>0.96319999999999995</v>
      </c>
      <c r="F75" s="317">
        <v>0.93010000000000004</v>
      </c>
      <c r="G75" s="314">
        <v>0.997</v>
      </c>
    </row>
    <row r="76" spans="1:7" ht="18.75" thickBot="1">
      <c r="A76">
        <v>9</v>
      </c>
      <c r="B76" s="485" t="s">
        <v>279</v>
      </c>
      <c r="C76" s="477" t="s">
        <v>259</v>
      </c>
      <c r="D76" s="316">
        <v>0.97970000000000002</v>
      </c>
      <c r="E76" s="317">
        <v>0.98309999999999997</v>
      </c>
      <c r="F76" s="317">
        <v>0.99439999999999995</v>
      </c>
      <c r="G76" s="314">
        <v>1</v>
      </c>
    </row>
    <row r="77" spans="1:7" ht="18.75" thickBot="1">
      <c r="A77">
        <v>10</v>
      </c>
      <c r="B77" s="485" t="s">
        <v>279</v>
      </c>
      <c r="C77" s="501" t="s">
        <v>213</v>
      </c>
      <c r="D77" s="316">
        <v>0.92730000000000001</v>
      </c>
      <c r="E77" s="317">
        <v>1</v>
      </c>
      <c r="F77" s="317">
        <v>1</v>
      </c>
      <c r="G77" s="317">
        <v>0.91839999999999999</v>
      </c>
    </row>
    <row r="78" spans="1:7" ht="18.75" thickBot="1">
      <c r="C78" s="502" t="s">
        <v>49</v>
      </c>
      <c r="D78" s="503">
        <v>0.92530000000000001</v>
      </c>
      <c r="E78" s="503">
        <v>0.97550000000000003</v>
      </c>
      <c r="F78" s="503">
        <v>0.95530000000000004</v>
      </c>
      <c r="G78" s="503">
        <v>0.98070000000000002</v>
      </c>
    </row>
    <row r="79" spans="1:7" ht="18.75" thickBot="1">
      <c r="B79" s="485" t="s">
        <v>280</v>
      </c>
      <c r="C79" s="479" t="s">
        <v>212</v>
      </c>
      <c r="D79" s="313">
        <v>0.92759999999999998</v>
      </c>
      <c r="E79" s="314">
        <v>0.96189999999999998</v>
      </c>
      <c r="F79" s="314">
        <v>0.98099999999999998</v>
      </c>
      <c r="G79" s="314">
        <v>0.96840000000000004</v>
      </c>
    </row>
    <row r="80" spans="1:7" ht="18.75" thickBot="1">
      <c r="B80" s="485" t="s">
        <v>280</v>
      </c>
      <c r="C80" s="477" t="s">
        <v>211</v>
      </c>
      <c r="D80" s="316">
        <v>0.93020000000000003</v>
      </c>
      <c r="E80" s="317">
        <v>0.95320000000000005</v>
      </c>
      <c r="F80" s="317">
        <v>0.99280000000000002</v>
      </c>
      <c r="G80" s="314">
        <v>0.87370000000000003</v>
      </c>
    </row>
    <row r="81" spans="2:9" ht="18.75" thickBot="1">
      <c r="B81" s="485" t="s">
        <v>280</v>
      </c>
      <c r="C81" s="477" t="s">
        <v>259</v>
      </c>
      <c r="D81" s="316">
        <v>0.99370000000000003</v>
      </c>
      <c r="E81" s="317">
        <v>0.98950000000000005</v>
      </c>
      <c r="F81" s="317">
        <v>0.99480000000000002</v>
      </c>
      <c r="G81" s="314">
        <v>0.98919999999999997</v>
      </c>
    </row>
    <row r="82" spans="2:9" ht="18.75" thickBot="1">
      <c r="B82" s="485" t="s">
        <v>280</v>
      </c>
      <c r="C82" s="501" t="s">
        <v>213</v>
      </c>
      <c r="D82" s="316">
        <v>0.89139999999999997</v>
      </c>
      <c r="E82" s="317">
        <v>0.54320000000000002</v>
      </c>
      <c r="F82" s="317">
        <v>0.87639999999999996</v>
      </c>
      <c r="G82" s="317">
        <v>0.90610000000000002</v>
      </c>
    </row>
    <row r="83" spans="2:9" ht="18.75" thickBot="1">
      <c r="C83" s="502" t="s">
        <v>49</v>
      </c>
      <c r="D83" s="503">
        <v>0.94130000000000003</v>
      </c>
      <c r="E83" s="503">
        <v>0.86199999999999999</v>
      </c>
      <c r="F83" s="503">
        <v>0.97760000000000002</v>
      </c>
      <c r="G83" s="503">
        <v>0.93440000000000001</v>
      </c>
    </row>
    <row r="84" spans="2:9" ht="18.75" thickBot="1">
      <c r="B84" s="485" t="s">
        <v>281</v>
      </c>
      <c r="C84" s="479" t="s">
        <v>212</v>
      </c>
      <c r="D84" s="313">
        <v>0.96099999999999997</v>
      </c>
      <c r="E84" s="314">
        <v>0.90480000000000005</v>
      </c>
      <c r="F84" s="314">
        <v>0.95240000000000002</v>
      </c>
      <c r="G84" s="314">
        <v>0.96730000000000005</v>
      </c>
    </row>
    <row r="85" spans="2:9" ht="18.75" thickBot="1">
      <c r="B85" s="485" t="s">
        <v>281</v>
      </c>
      <c r="C85" s="477" t="s">
        <v>211</v>
      </c>
      <c r="D85" s="316">
        <v>0.9244</v>
      </c>
      <c r="E85" s="317">
        <v>0.9466</v>
      </c>
      <c r="F85" s="317">
        <v>0.94269999999999998</v>
      </c>
      <c r="G85" s="314">
        <v>0.99350000000000005</v>
      </c>
    </row>
    <row r="86" spans="2:9" ht="18.75" thickBot="1">
      <c r="B86" s="485" t="s">
        <v>281</v>
      </c>
      <c r="C86" s="477" t="s">
        <v>259</v>
      </c>
      <c r="D86" s="316">
        <v>0.98919999999999997</v>
      </c>
      <c r="E86" s="317">
        <v>0.95069999999999999</v>
      </c>
      <c r="F86" s="317">
        <v>0.99009999999999998</v>
      </c>
      <c r="G86" s="314">
        <v>0.99480000000000002</v>
      </c>
    </row>
    <row r="87" spans="2:9" ht="18.75" thickBot="1">
      <c r="B87" s="485" t="s">
        <v>281</v>
      </c>
      <c r="C87" s="501" t="s">
        <v>213</v>
      </c>
      <c r="D87" s="316">
        <v>0.90449999999999997</v>
      </c>
      <c r="E87" s="317">
        <v>0.79549999999999998</v>
      </c>
      <c r="F87" s="317">
        <v>0.92049999999999998</v>
      </c>
      <c r="G87" s="317">
        <v>1</v>
      </c>
      <c r="I87" s="315"/>
    </row>
    <row r="88" spans="2:9" ht="18.75" thickBot="1">
      <c r="C88" s="502" t="s">
        <v>49</v>
      </c>
      <c r="D88" s="503">
        <v>0.94969999999999999</v>
      </c>
      <c r="E88" s="503">
        <v>0.91839999999999999</v>
      </c>
      <c r="F88" s="503">
        <v>0.95540000000000003</v>
      </c>
      <c r="G88" s="503">
        <v>0.98550000000000004</v>
      </c>
    </row>
    <row r="89" spans="2:9" ht="18.75" thickBot="1">
      <c r="B89" s="485" t="s">
        <v>282</v>
      </c>
      <c r="C89" s="479" t="s">
        <v>212</v>
      </c>
      <c r="D89" s="313">
        <v>0.94520000000000004</v>
      </c>
      <c r="E89" s="314">
        <v>0.92120000000000002</v>
      </c>
      <c r="F89" s="314">
        <v>0.93779999999999997</v>
      </c>
      <c r="G89" s="314">
        <v>0.90410000000000001</v>
      </c>
    </row>
    <row r="90" spans="2:9" ht="18.75" thickBot="1">
      <c r="B90" s="485" t="s">
        <v>282</v>
      </c>
      <c r="C90" s="477" t="s">
        <v>211</v>
      </c>
      <c r="D90" s="316">
        <v>0.93220000000000003</v>
      </c>
      <c r="E90" s="317">
        <v>0.94520000000000004</v>
      </c>
      <c r="F90" s="317">
        <v>0.91100000000000003</v>
      </c>
      <c r="G90" s="314">
        <v>0.87970000000000004</v>
      </c>
    </row>
    <row r="91" spans="2:9" ht="18.75" thickBot="1">
      <c r="B91" s="485" t="s">
        <v>282</v>
      </c>
      <c r="C91" s="477" t="s">
        <v>259</v>
      </c>
      <c r="D91" s="316">
        <v>0.94299999999999995</v>
      </c>
      <c r="E91" s="317">
        <v>0.9758</v>
      </c>
      <c r="F91" s="317">
        <v>0.93240000000000001</v>
      </c>
      <c r="G91" s="314">
        <v>0.92830000000000001</v>
      </c>
      <c r="I91" s="315"/>
    </row>
    <row r="92" spans="2:9" ht="18.75" thickBot="1">
      <c r="B92" s="485" t="s">
        <v>282</v>
      </c>
      <c r="C92" s="501" t="s">
        <v>213</v>
      </c>
      <c r="D92" s="316">
        <v>0.71319999999999995</v>
      </c>
      <c r="E92" s="317">
        <v>0.5</v>
      </c>
      <c r="F92" s="317">
        <v>0.61839999999999995</v>
      </c>
      <c r="G92" s="317">
        <v>0.92779999999999996</v>
      </c>
    </row>
    <row r="93" spans="2:9" ht="18.75" thickBot="1">
      <c r="C93" s="502" t="s">
        <v>49</v>
      </c>
      <c r="D93" s="503">
        <v>0.91839999999999999</v>
      </c>
      <c r="E93" s="503">
        <v>0.90439999999999998</v>
      </c>
      <c r="F93" s="503">
        <v>0.89710000000000001</v>
      </c>
      <c r="G93" s="503">
        <v>0.9022</v>
      </c>
    </row>
    <row r="94" spans="2:9" ht="18.75" thickBot="1">
      <c r="B94" s="485" t="s">
        <v>283</v>
      </c>
      <c r="C94" s="479" t="s">
        <v>212</v>
      </c>
      <c r="D94" s="313">
        <v>0.93930000000000002</v>
      </c>
      <c r="E94" s="314">
        <v>0.97570000000000001</v>
      </c>
      <c r="F94" s="314">
        <v>0.92310000000000003</v>
      </c>
      <c r="G94" s="314">
        <v>0.93610000000000004</v>
      </c>
    </row>
    <row r="95" spans="2:9" ht="18.75" thickBot="1">
      <c r="B95" s="485" t="s">
        <v>283</v>
      </c>
      <c r="C95" s="477" t="s">
        <v>211</v>
      </c>
      <c r="D95" s="316">
        <v>0.90029999999999999</v>
      </c>
      <c r="E95" s="317">
        <v>0.93979999999999997</v>
      </c>
      <c r="F95" s="317">
        <v>0.87629999999999997</v>
      </c>
      <c r="G95" s="314">
        <v>0.93310000000000004</v>
      </c>
    </row>
    <row r="96" spans="2:9" ht="18.75" thickBot="1">
      <c r="B96" s="485" t="s">
        <v>283</v>
      </c>
      <c r="C96" s="477" t="s">
        <v>259</v>
      </c>
      <c r="D96" s="316">
        <v>0.97819999999999996</v>
      </c>
      <c r="E96" s="317">
        <v>0.90590000000000004</v>
      </c>
      <c r="F96" s="317">
        <v>0.95050000000000001</v>
      </c>
      <c r="G96" s="314">
        <v>0.97750000000000004</v>
      </c>
    </row>
    <row r="97" spans="2:7" ht="18.75" thickBot="1">
      <c r="B97" s="485" t="s">
        <v>283</v>
      </c>
      <c r="C97" s="501" t="s">
        <v>213</v>
      </c>
      <c r="D97" s="316">
        <v>0.67500000000000004</v>
      </c>
      <c r="E97" s="317">
        <v>0.2</v>
      </c>
      <c r="F97" s="317">
        <v>0.61250000000000004</v>
      </c>
      <c r="G97" s="317">
        <v>0.9849</v>
      </c>
    </row>
    <row r="98" spans="2:7" ht="18.75" thickBot="1">
      <c r="C98" s="502" t="s">
        <v>49</v>
      </c>
      <c r="D98" s="503">
        <v>0.90920000000000001</v>
      </c>
      <c r="E98" s="503">
        <v>0.87080000000000002</v>
      </c>
      <c r="F98" s="503">
        <v>0.88290000000000002</v>
      </c>
      <c r="G98" s="503">
        <v>0.94899999999999995</v>
      </c>
    </row>
    <row r="99" spans="2:7" ht="18.75" thickBot="1">
      <c r="B99" s="485" t="s">
        <v>284</v>
      </c>
      <c r="C99" s="479" t="s">
        <v>212</v>
      </c>
      <c r="D99" s="313">
        <v>0.98089999999999999</v>
      </c>
      <c r="E99" s="314">
        <v>0.98399999999999999</v>
      </c>
      <c r="F99" s="314">
        <v>0.96809999999999996</v>
      </c>
      <c r="G99" s="314">
        <v>0.94259999999999999</v>
      </c>
    </row>
    <row r="100" spans="2:7" ht="18.75" thickBot="1">
      <c r="B100" s="485" t="s">
        <v>284</v>
      </c>
      <c r="C100" s="477" t="s">
        <v>211</v>
      </c>
      <c r="D100" s="316">
        <v>0.95599999999999996</v>
      </c>
      <c r="E100" s="317">
        <v>0.98170000000000002</v>
      </c>
      <c r="F100" s="317">
        <v>0.9194</v>
      </c>
      <c r="G100" s="314">
        <v>0.90380000000000005</v>
      </c>
    </row>
    <row r="101" spans="2:7" ht="18.75" thickBot="1">
      <c r="B101" s="485" t="s">
        <v>284</v>
      </c>
      <c r="C101" s="477" t="s">
        <v>259</v>
      </c>
      <c r="D101" s="316">
        <v>0.97419999999999995</v>
      </c>
      <c r="E101" s="317">
        <v>1</v>
      </c>
      <c r="F101" s="317">
        <v>0.97130000000000005</v>
      </c>
      <c r="G101" s="314">
        <v>1</v>
      </c>
    </row>
    <row r="102" spans="2:7" ht="18.75" thickBot="1">
      <c r="B102" s="485" t="s">
        <v>284</v>
      </c>
      <c r="C102" s="501" t="s">
        <v>213</v>
      </c>
      <c r="D102" s="316">
        <v>0.55000000000000004</v>
      </c>
      <c r="E102" s="317">
        <v>0.375</v>
      </c>
      <c r="F102" s="317">
        <v>0.48959999999999998</v>
      </c>
      <c r="G102" s="317">
        <v>0.94230000000000003</v>
      </c>
    </row>
    <row r="103" spans="2:7" ht="18.75" thickBot="1">
      <c r="C103" s="502" t="s">
        <v>49</v>
      </c>
      <c r="D103" s="503">
        <v>0.91620000000000001</v>
      </c>
      <c r="E103" s="503">
        <v>0.91120000000000001</v>
      </c>
      <c r="F103" s="503">
        <v>0.89159999999999995</v>
      </c>
      <c r="G103" s="503">
        <v>0.94059999999999999</v>
      </c>
    </row>
    <row r="104" spans="2:7" ht="18.75" thickBot="1">
      <c r="B104" s="485" t="s">
        <v>285</v>
      </c>
      <c r="C104" s="479" t="s">
        <v>212</v>
      </c>
      <c r="D104" s="313">
        <v>0.97840000000000005</v>
      </c>
      <c r="E104" s="314">
        <v>0.95879999999999999</v>
      </c>
      <c r="F104" s="314">
        <v>0.97419999999999995</v>
      </c>
      <c r="G104" s="314">
        <v>0.89300000000000002</v>
      </c>
    </row>
    <row r="105" spans="2:7" ht="18.75" thickBot="1">
      <c r="B105" s="485" t="s">
        <v>285</v>
      </c>
      <c r="C105" s="477" t="s">
        <v>211</v>
      </c>
      <c r="D105" s="316">
        <v>0.95430000000000004</v>
      </c>
      <c r="E105" s="317">
        <v>0.9476</v>
      </c>
      <c r="F105" s="317">
        <v>0.9476</v>
      </c>
      <c r="G105" s="314">
        <v>0.90980000000000005</v>
      </c>
    </row>
    <row r="106" spans="2:7" ht="18.75" thickBot="1">
      <c r="B106" s="485" t="s">
        <v>285</v>
      </c>
      <c r="C106" s="477" t="s">
        <v>259</v>
      </c>
      <c r="D106" s="316">
        <v>0.95979999999999999</v>
      </c>
      <c r="E106" s="317">
        <v>1</v>
      </c>
      <c r="F106" s="317">
        <v>0.9577</v>
      </c>
      <c r="G106" s="314">
        <v>0.95979999999999999</v>
      </c>
    </row>
    <row r="107" spans="2:7" ht="18.75" thickBot="1">
      <c r="B107" s="485" t="s">
        <v>285</v>
      </c>
      <c r="C107" s="501" t="s">
        <v>213</v>
      </c>
      <c r="D107" s="316">
        <v>0.61019999999999996</v>
      </c>
      <c r="E107" s="317">
        <v>0.50849999999999995</v>
      </c>
      <c r="F107" s="317">
        <v>0.64410000000000001</v>
      </c>
      <c r="G107" s="317">
        <v>0.91759999999999997</v>
      </c>
    </row>
    <row r="108" spans="2:7" ht="18.75" thickBot="1">
      <c r="C108" s="502" t="s">
        <v>49</v>
      </c>
      <c r="D108" s="503">
        <v>0.93369999999999997</v>
      </c>
      <c r="E108" s="503">
        <v>0.92810000000000004</v>
      </c>
      <c r="F108" s="503">
        <v>0.93230000000000002</v>
      </c>
      <c r="G108" s="503">
        <v>0.91669999999999996</v>
      </c>
    </row>
    <row r="109" spans="2:7" ht="18.75" thickBot="1">
      <c r="B109" s="485" t="s">
        <v>286</v>
      </c>
      <c r="C109" s="479" t="s">
        <v>212</v>
      </c>
      <c r="D109" s="313">
        <v>0.95720000000000005</v>
      </c>
      <c r="E109" s="314">
        <v>0.94479999999999997</v>
      </c>
      <c r="F109" s="314">
        <v>0.95860000000000001</v>
      </c>
      <c r="G109" s="314">
        <v>0.80479999999999996</v>
      </c>
    </row>
    <row r="110" spans="2:7" ht="18.75" thickBot="1">
      <c r="B110" s="485" t="s">
        <v>286</v>
      </c>
      <c r="C110" s="477" t="s">
        <v>211</v>
      </c>
      <c r="D110" s="316">
        <v>0.95640000000000003</v>
      </c>
      <c r="E110" s="317">
        <v>0.98099999999999998</v>
      </c>
      <c r="F110" s="317">
        <v>0.9526</v>
      </c>
      <c r="G110" s="314">
        <v>0.86199999999999999</v>
      </c>
    </row>
    <row r="111" spans="2:7" ht="18.75" thickBot="1">
      <c r="B111" s="485" t="s">
        <v>286</v>
      </c>
      <c r="C111" s="477" t="s">
        <v>259</v>
      </c>
      <c r="D111" s="316">
        <v>0.99480000000000002</v>
      </c>
      <c r="E111" s="317">
        <v>1</v>
      </c>
      <c r="F111" s="317">
        <v>1</v>
      </c>
      <c r="G111" s="314">
        <v>0.86939999999999995</v>
      </c>
    </row>
    <row r="112" spans="2:7" ht="18.75" thickBot="1">
      <c r="B112" s="485" t="s">
        <v>286</v>
      </c>
      <c r="C112" s="501" t="s">
        <v>213</v>
      </c>
      <c r="D112" s="316">
        <v>0.69820000000000004</v>
      </c>
      <c r="E112" s="317">
        <v>0.6</v>
      </c>
      <c r="F112" s="317">
        <v>0.76359999999999995</v>
      </c>
      <c r="G112" s="317">
        <v>0.85709999999999997</v>
      </c>
    </row>
    <row r="113" spans="2:7" ht="18.75" thickBot="1">
      <c r="C113" s="502" t="s">
        <v>49</v>
      </c>
      <c r="D113" s="503">
        <v>0.94199999999999995</v>
      </c>
      <c r="E113" s="503">
        <v>0.93989999999999996</v>
      </c>
      <c r="F113" s="503">
        <v>0.94879999999999998</v>
      </c>
      <c r="G113" s="503">
        <v>0.85319999999999996</v>
      </c>
    </row>
    <row r="114" spans="2:7" ht="18.75" thickBot="1">
      <c r="B114" s="485" t="s">
        <v>287</v>
      </c>
      <c r="C114" s="479" t="s">
        <v>212</v>
      </c>
      <c r="D114" s="313">
        <v>0.95140000000000002</v>
      </c>
      <c r="E114" s="314">
        <v>0.92310000000000003</v>
      </c>
      <c r="F114" s="314">
        <v>0.94740000000000002</v>
      </c>
      <c r="G114" s="314">
        <v>0.95609999999999995</v>
      </c>
    </row>
    <row r="115" spans="2:7" ht="18.75" thickBot="1">
      <c r="B115" s="485" t="s">
        <v>287</v>
      </c>
      <c r="C115" s="477" t="s">
        <v>211</v>
      </c>
      <c r="D115" s="316">
        <v>0.89659999999999995</v>
      </c>
      <c r="E115" s="317">
        <v>0.90569999999999995</v>
      </c>
      <c r="F115" s="317">
        <v>0.93210000000000004</v>
      </c>
      <c r="G115" s="314">
        <v>0.97060000000000002</v>
      </c>
    </row>
    <row r="116" spans="2:7" ht="18.75" thickBot="1">
      <c r="B116" s="485" t="s">
        <v>287</v>
      </c>
      <c r="C116" s="477" t="s">
        <v>259</v>
      </c>
      <c r="D116" s="316">
        <v>0.94020000000000004</v>
      </c>
      <c r="E116" s="317">
        <v>0.93810000000000004</v>
      </c>
      <c r="F116" s="317">
        <v>0.96389999999999998</v>
      </c>
      <c r="G116" s="314">
        <v>0.99439999999999995</v>
      </c>
    </row>
    <row r="117" spans="2:7" ht="18.75" thickBot="1">
      <c r="B117" s="485" t="s">
        <v>287</v>
      </c>
      <c r="C117" s="501" t="s">
        <v>213</v>
      </c>
      <c r="D117" s="316">
        <v>0.68400000000000005</v>
      </c>
      <c r="E117" s="317">
        <v>0.52939999999999998</v>
      </c>
      <c r="F117" s="317">
        <v>0.65549999999999997</v>
      </c>
      <c r="G117" s="317">
        <v>0.91410000000000002</v>
      </c>
    </row>
    <row r="118" spans="2:7" ht="18.75" thickBot="1">
      <c r="C118" s="502" t="s">
        <v>49</v>
      </c>
      <c r="D118" s="503">
        <v>0.89259999999999995</v>
      </c>
      <c r="E118" s="503">
        <v>0.86419999999999997</v>
      </c>
      <c r="F118" s="503">
        <v>0.9042</v>
      </c>
      <c r="G118" s="503">
        <v>0.96260000000000001</v>
      </c>
    </row>
    <row r="119" spans="2:7" ht="18.75" thickBot="1">
      <c r="B119" s="485" t="s">
        <v>288</v>
      </c>
      <c r="C119" s="479" t="s">
        <v>212</v>
      </c>
      <c r="D119" s="313">
        <v>0.94159999999999999</v>
      </c>
      <c r="E119" s="314">
        <v>0.94</v>
      </c>
      <c r="F119" s="314">
        <v>0.92800000000000005</v>
      </c>
      <c r="G119" s="314">
        <v>0.85840000000000005</v>
      </c>
    </row>
    <row r="120" spans="2:7" ht="18.75" thickBot="1">
      <c r="B120" s="485" t="s">
        <v>288</v>
      </c>
      <c r="C120" s="477" t="s">
        <v>211</v>
      </c>
      <c r="D120" s="316">
        <v>0.80369999999999997</v>
      </c>
      <c r="E120" s="317">
        <v>0.91039999999999999</v>
      </c>
      <c r="F120" s="317">
        <v>0.80220000000000002</v>
      </c>
      <c r="G120" s="314">
        <v>0.85709999999999997</v>
      </c>
    </row>
    <row r="121" spans="2:7" ht="18.75" thickBot="1">
      <c r="B121" s="485" t="s">
        <v>288</v>
      </c>
      <c r="C121" s="477" t="s">
        <v>259</v>
      </c>
      <c r="D121" s="316">
        <v>0.90980000000000005</v>
      </c>
      <c r="E121" s="317">
        <v>0.97689999999999999</v>
      </c>
      <c r="F121" s="317">
        <v>0.94220000000000004</v>
      </c>
      <c r="G121" s="314">
        <v>0.88780000000000003</v>
      </c>
    </row>
    <row r="122" spans="2:7" ht="18.75" thickBot="1">
      <c r="B122" s="485" t="s">
        <v>288</v>
      </c>
      <c r="C122" s="501" t="s">
        <v>213</v>
      </c>
      <c r="D122" s="316">
        <v>0.67759999999999998</v>
      </c>
      <c r="E122" s="317">
        <v>0.4592</v>
      </c>
      <c r="F122" s="317">
        <v>0.64290000000000003</v>
      </c>
      <c r="G122" s="317">
        <v>0.91410000000000002</v>
      </c>
    </row>
    <row r="123" spans="2:7" ht="18.75" thickBot="1">
      <c r="C123" s="502" t="s">
        <v>49</v>
      </c>
      <c r="D123" s="503">
        <v>0.85499999999999998</v>
      </c>
      <c r="E123" s="503">
        <v>0.87829999999999997</v>
      </c>
      <c r="F123" s="503">
        <v>0.85299999999999998</v>
      </c>
      <c r="G123" s="503">
        <v>0.87</v>
      </c>
    </row>
    <row r="124" spans="2:7" ht="18.75" thickBot="1">
      <c r="B124" s="485" t="s">
        <v>289</v>
      </c>
      <c r="C124" s="479" t="s">
        <v>212</v>
      </c>
      <c r="D124" s="313">
        <v>0.97219999999999995</v>
      </c>
      <c r="E124" s="314">
        <v>0.95689999999999997</v>
      </c>
      <c r="F124" s="314">
        <v>0.96650000000000003</v>
      </c>
      <c r="G124" s="314">
        <v>0.92310000000000003</v>
      </c>
    </row>
    <row r="125" spans="2:7" ht="18.75" thickBot="1">
      <c r="B125" s="485" t="s">
        <v>289</v>
      </c>
      <c r="C125" s="477" t="s">
        <v>211</v>
      </c>
      <c r="D125" s="316">
        <v>0.89059999999999995</v>
      </c>
      <c r="E125" s="317">
        <v>0.93059999999999998</v>
      </c>
      <c r="F125" s="317">
        <v>0.90610000000000002</v>
      </c>
      <c r="G125" s="314">
        <v>0.92059999999999997</v>
      </c>
    </row>
    <row r="126" spans="2:7" ht="18.75" thickBot="1">
      <c r="B126" s="485" t="s">
        <v>289</v>
      </c>
      <c r="C126" s="477" t="s">
        <v>259</v>
      </c>
      <c r="D126" s="316">
        <v>0.9385</v>
      </c>
      <c r="E126" s="317">
        <v>0.90910000000000002</v>
      </c>
      <c r="F126" s="317">
        <v>0.93710000000000004</v>
      </c>
      <c r="G126" s="314">
        <v>0.9294</v>
      </c>
    </row>
    <row r="127" spans="2:7" ht="18.75" thickBot="1">
      <c r="B127" s="485" t="s">
        <v>289</v>
      </c>
      <c r="C127" s="501" t="s">
        <v>213</v>
      </c>
      <c r="D127" s="316">
        <v>0.63060000000000005</v>
      </c>
      <c r="E127" s="317">
        <v>0.61109999999999998</v>
      </c>
      <c r="F127" s="317">
        <v>0.58330000000000004</v>
      </c>
      <c r="G127" s="317">
        <v>0.96930000000000005</v>
      </c>
    </row>
    <row r="128" spans="2:7" ht="18">
      <c r="C128" s="502" t="s">
        <v>49</v>
      </c>
      <c r="D128" s="503">
        <v>0.89839999999999998</v>
      </c>
      <c r="E128" s="503">
        <v>0.89990000000000003</v>
      </c>
      <c r="F128" s="503">
        <v>0.89690000000000003</v>
      </c>
      <c r="G128" s="503">
        <v>0.93200000000000005</v>
      </c>
    </row>
  </sheetData>
  <mergeCells count="11">
    <mergeCell ref="B1:F1"/>
    <mergeCell ref="B2:F2"/>
    <mergeCell ref="B4:F4"/>
    <mergeCell ref="B5:F5"/>
    <mergeCell ref="O7:R7"/>
    <mergeCell ref="K36:W36"/>
    <mergeCell ref="K21:W21"/>
    <mergeCell ref="K26:W26"/>
    <mergeCell ref="K31:W31"/>
    <mergeCell ref="S15:V15"/>
    <mergeCell ref="L15:R15"/>
  </mergeCells>
  <phoneticPr fontId="105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DCDF8-ED2E-4D45-9FDD-E2B3D6A48328}">
  <dimension ref="B2:H41"/>
  <sheetViews>
    <sheetView tabSelected="1" topLeftCell="B27" workbookViewId="0">
      <selection activeCell="E39" sqref="E39:F41"/>
    </sheetView>
  </sheetViews>
  <sheetFormatPr baseColWidth="10" defaultRowHeight="15"/>
  <cols>
    <col min="1" max="4" width="11" style="835"/>
    <col min="5" max="5" width="19.75" style="835" customWidth="1"/>
    <col min="6" max="6" width="17" style="835" customWidth="1"/>
    <col min="7" max="16384" width="11" style="835"/>
  </cols>
  <sheetData>
    <row r="2" spans="2:8">
      <c r="B2" s="840" t="s">
        <v>612</v>
      </c>
      <c r="C2" s="937" t="s">
        <v>323</v>
      </c>
      <c r="D2" s="937"/>
      <c r="E2" s="937"/>
      <c r="F2" s="937"/>
      <c r="G2" s="937"/>
      <c r="H2" s="937"/>
    </row>
    <row r="3" spans="2:8" ht="30" customHeight="1">
      <c r="B3" s="938" t="s">
        <v>613</v>
      </c>
      <c r="C3" s="938" t="s">
        <v>348</v>
      </c>
      <c r="D3" s="938"/>
      <c r="E3" s="938" t="s">
        <v>614</v>
      </c>
      <c r="F3" s="938"/>
      <c r="G3" s="939" t="s">
        <v>615</v>
      </c>
      <c r="H3" s="939"/>
    </row>
    <row r="4" spans="2:8">
      <c r="B4" s="938"/>
      <c r="C4" s="840" t="s">
        <v>616</v>
      </c>
      <c r="D4" s="840" t="s">
        <v>617</v>
      </c>
      <c r="E4" s="840" t="s">
        <v>618</v>
      </c>
      <c r="F4" s="840" t="s">
        <v>534</v>
      </c>
      <c r="G4" s="840" t="s">
        <v>616</v>
      </c>
      <c r="H4" s="840" t="s">
        <v>617</v>
      </c>
    </row>
    <row r="5" spans="2:8">
      <c r="B5" s="836">
        <v>45658</v>
      </c>
      <c r="C5" s="837">
        <v>490052</v>
      </c>
      <c r="D5" s="838">
        <v>539058</v>
      </c>
      <c r="E5" s="834">
        <v>90.37</v>
      </c>
      <c r="F5" s="834">
        <v>96.49</v>
      </c>
      <c r="G5" s="839">
        <v>0.48</v>
      </c>
      <c r="H5" s="839">
        <v>0.52</v>
      </c>
    </row>
    <row r="6" spans="2:8">
      <c r="B6" s="836">
        <v>45689</v>
      </c>
      <c r="C6" s="837">
        <v>490052</v>
      </c>
      <c r="D6" s="838">
        <v>539058</v>
      </c>
      <c r="E6" s="834">
        <v>89.21</v>
      </c>
      <c r="F6" s="834">
        <v>97.12</v>
      </c>
      <c r="G6" s="839">
        <v>0.48</v>
      </c>
      <c r="H6" s="839">
        <v>0.52</v>
      </c>
    </row>
    <row r="7" spans="2:8">
      <c r="B7" s="836">
        <v>45717</v>
      </c>
      <c r="C7" s="837">
        <v>490052</v>
      </c>
      <c r="D7" s="838">
        <v>539058</v>
      </c>
      <c r="E7" s="834">
        <v>89.98</v>
      </c>
      <c r="F7" s="834">
        <v>96.38</v>
      </c>
      <c r="G7" s="839">
        <v>0.48</v>
      </c>
      <c r="H7" s="839">
        <v>0.52</v>
      </c>
    </row>
    <row r="8" spans="2:8">
      <c r="B8" s="836">
        <v>45748</v>
      </c>
      <c r="C8" s="837">
        <v>490052</v>
      </c>
      <c r="D8" s="838">
        <v>539058</v>
      </c>
      <c r="E8" s="834">
        <v>88.43</v>
      </c>
      <c r="F8" s="834">
        <v>97.45</v>
      </c>
      <c r="G8" s="839">
        <v>0.48</v>
      </c>
      <c r="H8" s="839">
        <v>0.52</v>
      </c>
    </row>
    <row r="9" spans="2:8">
      <c r="B9" s="836">
        <v>45778</v>
      </c>
      <c r="C9" s="837">
        <v>490052</v>
      </c>
      <c r="D9" s="838">
        <v>539058</v>
      </c>
      <c r="E9" s="834">
        <v>85.09</v>
      </c>
      <c r="F9" s="834">
        <v>97.35</v>
      </c>
      <c r="G9" s="839">
        <v>0.48</v>
      </c>
      <c r="H9" s="839">
        <v>0.52</v>
      </c>
    </row>
    <row r="10" spans="2:8">
      <c r="B10" s="836">
        <v>45809</v>
      </c>
      <c r="C10" s="837">
        <v>490052</v>
      </c>
      <c r="D10" s="838">
        <v>539058</v>
      </c>
      <c r="E10" s="834">
        <v>86.67</v>
      </c>
      <c r="F10" s="953">
        <v>96</v>
      </c>
      <c r="G10" s="839">
        <v>0.48</v>
      </c>
      <c r="H10" s="839">
        <v>0.52</v>
      </c>
    </row>
    <row r="13" spans="2:8">
      <c r="B13" s="840" t="s">
        <v>612</v>
      </c>
      <c r="C13" s="937" t="s">
        <v>537</v>
      </c>
      <c r="D13" s="937"/>
      <c r="E13" s="937"/>
      <c r="F13" s="937"/>
      <c r="G13" s="937"/>
      <c r="H13" s="937"/>
    </row>
    <row r="14" spans="2:8" ht="31.5" customHeight="1">
      <c r="B14" s="938" t="s">
        <v>613</v>
      </c>
      <c r="C14" s="938" t="s">
        <v>348</v>
      </c>
      <c r="D14" s="938"/>
      <c r="E14" s="938" t="s">
        <v>614</v>
      </c>
      <c r="F14" s="938"/>
      <c r="G14" s="939" t="s">
        <v>615</v>
      </c>
      <c r="H14" s="939"/>
    </row>
    <row r="15" spans="2:8">
      <c r="B15" s="938"/>
      <c r="C15" s="840" t="s">
        <v>616</v>
      </c>
      <c r="D15" s="840" t="s">
        <v>617</v>
      </c>
      <c r="E15" s="840" t="s">
        <v>618</v>
      </c>
      <c r="F15" s="840" t="s">
        <v>534</v>
      </c>
      <c r="G15" s="840" t="s">
        <v>616</v>
      </c>
      <c r="H15" s="840" t="s">
        <v>617</v>
      </c>
    </row>
    <row r="16" spans="2:8">
      <c r="B16" s="836">
        <v>45658</v>
      </c>
      <c r="C16" s="838">
        <v>197104</v>
      </c>
      <c r="D16" s="838">
        <v>213474</v>
      </c>
      <c r="E16" s="834">
        <v>97.65</v>
      </c>
      <c r="F16" s="834">
        <v>98.82</v>
      </c>
      <c r="G16" s="839">
        <v>0.48</v>
      </c>
      <c r="H16" s="839">
        <v>0.52</v>
      </c>
    </row>
    <row r="17" spans="2:8">
      <c r="B17" s="836">
        <v>45689</v>
      </c>
      <c r="C17" s="838">
        <v>197104</v>
      </c>
      <c r="D17" s="838">
        <v>213474</v>
      </c>
      <c r="E17" s="834">
        <v>97.47</v>
      </c>
      <c r="F17" s="834">
        <v>98.73</v>
      </c>
      <c r="G17" s="839">
        <v>0.48</v>
      </c>
      <c r="H17" s="839">
        <v>0.52</v>
      </c>
    </row>
    <row r="18" spans="2:8">
      <c r="B18" s="836">
        <v>45717</v>
      </c>
      <c r="C18" s="838">
        <v>197104</v>
      </c>
      <c r="D18" s="838">
        <v>213474</v>
      </c>
      <c r="E18" s="953">
        <v>100</v>
      </c>
      <c r="F18" s="953">
        <v>100</v>
      </c>
      <c r="G18" s="839">
        <v>0.48</v>
      </c>
      <c r="H18" s="839">
        <v>0.52</v>
      </c>
    </row>
    <row r="19" spans="2:8">
      <c r="B19" s="836">
        <v>45748</v>
      </c>
      <c r="C19" s="838">
        <v>197104</v>
      </c>
      <c r="D19" s="838">
        <v>213474</v>
      </c>
      <c r="E19" s="834">
        <v>95.31</v>
      </c>
      <c r="F19" s="834">
        <v>98.44</v>
      </c>
      <c r="G19" s="839">
        <v>0.48</v>
      </c>
      <c r="H19" s="839">
        <v>0.52</v>
      </c>
    </row>
    <row r="20" spans="2:8">
      <c r="B20" s="836">
        <v>45778</v>
      </c>
      <c r="C20" s="838">
        <v>197104</v>
      </c>
      <c r="D20" s="838">
        <v>213474</v>
      </c>
      <c r="E20" s="953">
        <v>100</v>
      </c>
      <c r="F20" s="834">
        <v>98.51</v>
      </c>
      <c r="G20" s="839">
        <v>0.48</v>
      </c>
      <c r="H20" s="839">
        <v>0.52</v>
      </c>
    </row>
    <row r="21" spans="2:8">
      <c r="B21" s="836">
        <v>45809</v>
      </c>
      <c r="C21" s="838">
        <v>197104</v>
      </c>
      <c r="D21" s="838">
        <v>213474</v>
      </c>
      <c r="E21" s="834">
        <v>97.75</v>
      </c>
      <c r="F21" s="834">
        <v>98.88</v>
      </c>
      <c r="G21" s="839">
        <v>0.48</v>
      </c>
      <c r="H21" s="839">
        <v>0.52</v>
      </c>
    </row>
    <row r="23" spans="2:8">
      <c r="B23" s="840" t="s">
        <v>612</v>
      </c>
      <c r="C23" s="937" t="s">
        <v>538</v>
      </c>
      <c r="D23" s="937"/>
      <c r="E23" s="937"/>
      <c r="F23" s="937"/>
      <c r="G23" s="937"/>
      <c r="H23" s="937"/>
    </row>
    <row r="24" spans="2:8" ht="30.75" customHeight="1">
      <c r="B24" s="938" t="s">
        <v>613</v>
      </c>
      <c r="C24" s="938" t="s">
        <v>348</v>
      </c>
      <c r="D24" s="938"/>
      <c r="E24" s="938" t="s">
        <v>614</v>
      </c>
      <c r="F24" s="938"/>
      <c r="G24" s="939" t="s">
        <v>615</v>
      </c>
      <c r="H24" s="939"/>
    </row>
    <row r="25" spans="2:8">
      <c r="B25" s="938"/>
      <c r="C25" s="840" t="s">
        <v>616</v>
      </c>
      <c r="D25" s="840" t="s">
        <v>617</v>
      </c>
      <c r="E25" s="840" t="s">
        <v>618</v>
      </c>
      <c r="F25" s="840" t="s">
        <v>534</v>
      </c>
      <c r="G25" s="840" t="s">
        <v>616</v>
      </c>
      <c r="H25" s="840" t="s">
        <v>617</v>
      </c>
    </row>
    <row r="26" spans="2:8">
      <c r="B26" s="836">
        <v>45658</v>
      </c>
      <c r="C26" s="838">
        <v>456972</v>
      </c>
      <c r="D26" s="838">
        <v>504872</v>
      </c>
      <c r="E26" s="834">
        <v>93.11</v>
      </c>
      <c r="F26" s="834">
        <v>98.31</v>
      </c>
      <c r="G26" s="839">
        <v>0.48</v>
      </c>
      <c r="H26" s="839">
        <v>0.52</v>
      </c>
    </row>
    <row r="27" spans="2:8">
      <c r="B27" s="836">
        <v>45689</v>
      </c>
      <c r="C27" s="838">
        <v>456972</v>
      </c>
      <c r="D27" s="838">
        <v>504872</v>
      </c>
      <c r="E27" s="834">
        <v>95.87</v>
      </c>
      <c r="F27" s="953">
        <v>100</v>
      </c>
      <c r="G27" s="839">
        <v>0.48</v>
      </c>
      <c r="H27" s="839">
        <v>0.52</v>
      </c>
    </row>
    <row r="28" spans="2:8">
      <c r="B28" s="836">
        <v>45717</v>
      </c>
      <c r="C28" s="838">
        <v>456972</v>
      </c>
      <c r="D28" s="838">
        <v>504872</v>
      </c>
      <c r="E28" s="834">
        <v>98.79</v>
      </c>
      <c r="F28" s="834">
        <v>97.98</v>
      </c>
      <c r="G28" s="839">
        <v>0.48</v>
      </c>
      <c r="H28" s="839">
        <v>0.52</v>
      </c>
    </row>
    <row r="29" spans="2:8">
      <c r="B29" s="836">
        <v>45748</v>
      </c>
      <c r="C29" s="838">
        <v>456972</v>
      </c>
      <c r="D29" s="838">
        <v>504872</v>
      </c>
      <c r="E29" s="834">
        <v>93.87</v>
      </c>
      <c r="F29" s="834">
        <v>97.99</v>
      </c>
      <c r="G29" s="839">
        <v>0.48</v>
      </c>
      <c r="H29" s="839">
        <v>0.52</v>
      </c>
    </row>
    <row r="30" spans="2:8">
      <c r="B30" s="836">
        <v>45778</v>
      </c>
      <c r="C30" s="838">
        <v>456972</v>
      </c>
      <c r="D30" s="838">
        <v>504872</v>
      </c>
      <c r="E30" s="834">
        <v>96.16</v>
      </c>
      <c r="F30" s="834">
        <v>97.47</v>
      </c>
      <c r="G30" s="839">
        <v>0.48</v>
      </c>
      <c r="H30" s="839">
        <v>0.52</v>
      </c>
    </row>
    <row r="31" spans="2:8">
      <c r="B31" s="836">
        <v>45809</v>
      </c>
      <c r="C31" s="838">
        <v>456972</v>
      </c>
      <c r="D31" s="838">
        <v>504872</v>
      </c>
      <c r="E31" s="834">
        <v>89.98</v>
      </c>
      <c r="F31" s="834">
        <v>97.34</v>
      </c>
      <c r="G31" s="839">
        <v>0.48</v>
      </c>
      <c r="H31" s="839">
        <v>0.52</v>
      </c>
    </row>
    <row r="33" spans="2:8">
      <c r="B33" s="840" t="s">
        <v>612</v>
      </c>
      <c r="C33" s="937" t="s">
        <v>539</v>
      </c>
      <c r="D33" s="937"/>
      <c r="E33" s="937"/>
      <c r="F33" s="937"/>
      <c r="G33" s="937"/>
      <c r="H33" s="937"/>
    </row>
    <row r="34" spans="2:8" ht="30" customHeight="1">
      <c r="B34" s="938" t="s">
        <v>613</v>
      </c>
      <c r="C34" s="938" t="s">
        <v>348</v>
      </c>
      <c r="D34" s="938"/>
      <c r="E34" s="938" t="s">
        <v>614</v>
      </c>
      <c r="F34" s="938"/>
      <c r="G34" s="939" t="s">
        <v>615</v>
      </c>
      <c r="H34" s="939"/>
    </row>
    <row r="35" spans="2:8">
      <c r="B35" s="938"/>
      <c r="C35" s="840" t="s">
        <v>616</v>
      </c>
      <c r="D35" s="840" t="s">
        <v>617</v>
      </c>
      <c r="E35" s="840" t="s">
        <v>618</v>
      </c>
      <c r="F35" s="840" t="s">
        <v>534</v>
      </c>
      <c r="G35" s="840" t="s">
        <v>616</v>
      </c>
      <c r="H35" s="840" t="s">
        <v>617</v>
      </c>
    </row>
    <row r="36" spans="2:8">
      <c r="B36" s="836">
        <v>45658</v>
      </c>
      <c r="C36" s="838">
        <v>331288</v>
      </c>
      <c r="D36" s="838">
        <v>342986</v>
      </c>
      <c r="E36" s="834">
        <v>68.55</v>
      </c>
      <c r="F36" s="834">
        <v>78.180000000000007</v>
      </c>
      <c r="G36" s="839">
        <v>0.49</v>
      </c>
      <c r="H36" s="839">
        <v>0.51</v>
      </c>
    </row>
    <row r="37" spans="2:8">
      <c r="B37" s="836">
        <v>45689</v>
      </c>
      <c r="C37" s="838">
        <v>331288</v>
      </c>
      <c r="D37" s="838">
        <v>342986</v>
      </c>
      <c r="E37" s="834">
        <v>74.41</v>
      </c>
      <c r="F37" s="834">
        <v>84.95</v>
      </c>
      <c r="G37" s="839">
        <v>0.49</v>
      </c>
      <c r="H37" s="839">
        <v>0.51</v>
      </c>
    </row>
    <row r="38" spans="2:8">
      <c r="B38" s="836">
        <v>45717</v>
      </c>
      <c r="C38" s="838">
        <v>331288</v>
      </c>
      <c r="D38" s="838">
        <v>342986</v>
      </c>
      <c r="E38" s="834">
        <v>75.81</v>
      </c>
      <c r="F38" s="834">
        <v>91.43</v>
      </c>
      <c r="G38" s="839">
        <v>0.49</v>
      </c>
      <c r="H38" s="839">
        <v>0.51</v>
      </c>
    </row>
    <row r="39" spans="2:8">
      <c r="B39" s="836">
        <v>45748</v>
      </c>
      <c r="C39" s="838">
        <v>331288</v>
      </c>
      <c r="D39" s="838">
        <v>342986</v>
      </c>
      <c r="E39" s="834">
        <v>69.430000000000007</v>
      </c>
      <c r="F39" s="834">
        <v>86.21</v>
      </c>
      <c r="G39" s="839">
        <v>0.49</v>
      </c>
      <c r="H39" s="839">
        <v>0.51</v>
      </c>
    </row>
    <row r="40" spans="2:8">
      <c r="B40" s="836">
        <v>45778</v>
      </c>
      <c r="C40" s="838">
        <v>331288</v>
      </c>
      <c r="D40" s="838">
        <v>342986</v>
      </c>
      <c r="E40" s="953">
        <v>69.400000000000006</v>
      </c>
      <c r="F40" s="953">
        <v>78</v>
      </c>
      <c r="G40" s="839">
        <v>0.49</v>
      </c>
      <c r="H40" s="839">
        <v>0.51</v>
      </c>
    </row>
    <row r="41" spans="2:8">
      <c r="B41" s="836">
        <v>45809</v>
      </c>
      <c r="C41" s="838">
        <v>331288</v>
      </c>
      <c r="D41" s="838">
        <v>342986</v>
      </c>
      <c r="E41" s="834">
        <v>73.41</v>
      </c>
      <c r="F41" s="834">
        <v>84.71</v>
      </c>
      <c r="G41" s="839">
        <v>0.49</v>
      </c>
      <c r="H41" s="839">
        <v>0.51</v>
      </c>
    </row>
  </sheetData>
  <mergeCells count="20">
    <mergeCell ref="B24:B25"/>
    <mergeCell ref="C24:D24"/>
    <mergeCell ref="E24:F24"/>
    <mergeCell ref="G24:H24"/>
    <mergeCell ref="C2:H2"/>
    <mergeCell ref="B3:B4"/>
    <mergeCell ref="C3:D3"/>
    <mergeCell ref="E3:F3"/>
    <mergeCell ref="G3:H3"/>
    <mergeCell ref="C13:H13"/>
    <mergeCell ref="B14:B15"/>
    <mergeCell ref="C14:D14"/>
    <mergeCell ref="E14:F14"/>
    <mergeCell ref="G14:H14"/>
    <mergeCell ref="C23:H23"/>
    <mergeCell ref="C33:H33"/>
    <mergeCell ref="B34:B35"/>
    <mergeCell ref="C34:D34"/>
    <mergeCell ref="E34:F34"/>
    <mergeCell ref="G34:H3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CDA4A-CA48-4707-83EB-2A4D4E05E6C1}">
  <sheetPr codeName="Hoja16">
    <tabColor rgb="FF92D050"/>
  </sheetPr>
  <dimension ref="A1:AD112"/>
  <sheetViews>
    <sheetView topLeftCell="A27" workbookViewId="0">
      <selection activeCell="U17" sqref="U17"/>
    </sheetView>
  </sheetViews>
  <sheetFormatPr baseColWidth="10" defaultRowHeight="15.75"/>
  <cols>
    <col min="1" max="1" width="37.625" customWidth="1"/>
    <col min="2" max="2" width="12.75" bestFit="1" customWidth="1"/>
    <col min="3" max="3" width="12.375" customWidth="1"/>
    <col min="4" max="4" width="12.625" bestFit="1" customWidth="1"/>
    <col min="5" max="5" width="12.75" bestFit="1" customWidth="1"/>
    <col min="6" max="6" width="12.625" bestFit="1" customWidth="1"/>
    <col min="7" max="7" width="13.75" bestFit="1" customWidth="1"/>
    <col min="8" max="8" width="13.125" bestFit="1" customWidth="1"/>
    <col min="9" max="9" width="12.75" bestFit="1" customWidth="1"/>
    <col min="10" max="10" width="12.625" bestFit="1" customWidth="1"/>
    <col min="12" max="12" width="12.875" customWidth="1"/>
    <col min="13" max="13" width="12.375" customWidth="1"/>
    <col min="14" max="14" width="12.625" bestFit="1" customWidth="1"/>
    <col min="18" max="21" width="12.625" bestFit="1" customWidth="1"/>
    <col min="22" max="22" width="14.625" bestFit="1" customWidth="1"/>
    <col min="27" max="27" width="14.625" customWidth="1"/>
    <col min="30" max="30" width="13" customWidth="1"/>
  </cols>
  <sheetData>
    <row r="1" spans="1:30">
      <c r="S1" s="941" t="s">
        <v>321</v>
      </c>
      <c r="T1" s="941"/>
      <c r="AA1" t="s">
        <v>441</v>
      </c>
    </row>
    <row r="2" spans="1:30">
      <c r="A2" s="326" t="s">
        <v>294</v>
      </c>
      <c r="K2" s="1"/>
      <c r="Q2" s="46"/>
      <c r="R2" s="46">
        <v>2023</v>
      </c>
      <c r="S2" s="46">
        <v>2022</v>
      </c>
      <c r="T2" s="46">
        <v>2021</v>
      </c>
      <c r="U2" s="46">
        <v>2020</v>
      </c>
      <c r="V2" s="46" t="s">
        <v>322</v>
      </c>
      <c r="W2" s="46"/>
      <c r="AB2" s="560" t="s">
        <v>321</v>
      </c>
      <c r="AC2" s="7"/>
    </row>
    <row r="3" spans="1:30" ht="23.25">
      <c r="K3" s="1"/>
      <c r="P3" s="191">
        <f>+P7/U3</f>
        <v>4.2793394864804367E-3</v>
      </c>
      <c r="Q3" s="358" t="s">
        <v>323</v>
      </c>
      <c r="R3" s="359">
        <v>1062476</v>
      </c>
      <c r="S3" s="359">
        <v>1055879</v>
      </c>
      <c r="T3" s="360">
        <v>1049567</v>
      </c>
      <c r="U3" s="361">
        <v>1043186</v>
      </c>
      <c r="V3" s="361">
        <v>331133</v>
      </c>
      <c r="W3" s="362">
        <f>+U3/V3</f>
        <v>3.1503534833435509</v>
      </c>
      <c r="Z3" s="46"/>
      <c r="AA3" s="46">
        <v>2022</v>
      </c>
      <c r="AB3" s="46">
        <v>2010</v>
      </c>
      <c r="AC3" s="46" t="s">
        <v>438</v>
      </c>
      <c r="AD3" s="46" t="s">
        <v>322</v>
      </c>
    </row>
    <row r="4" spans="1:30" ht="23.25">
      <c r="P4" s="191">
        <f>+O4/U4</f>
        <v>0</v>
      </c>
      <c r="Q4" s="358" t="s">
        <v>324</v>
      </c>
      <c r="R4" s="359">
        <v>2871777.9863854237</v>
      </c>
      <c r="S4" s="359">
        <v>2824805.2218869007</v>
      </c>
      <c r="T4" s="360">
        <v>2955339</v>
      </c>
      <c r="U4" s="361">
        <v>2906003</v>
      </c>
      <c r="V4" s="361">
        <v>756183</v>
      </c>
      <c r="W4" s="362">
        <f>+U4/V4</f>
        <v>3.842989064816321</v>
      </c>
      <c r="Y4" s="191"/>
      <c r="Z4" s="358" t="s">
        <v>323</v>
      </c>
      <c r="AA4" s="359">
        <v>1029110</v>
      </c>
      <c r="AB4" s="359">
        <v>965040</v>
      </c>
      <c r="AC4" s="359"/>
      <c r="AD4" s="49">
        <v>363153</v>
      </c>
    </row>
    <row r="5" spans="1:30" ht="23.25">
      <c r="A5" t="s">
        <v>295</v>
      </c>
      <c r="B5" t="e">
        <f>+'[2]FACTURACION (2022'!#REF!-'[2]FACTURACION (2022'!#REF!</f>
        <v>#REF!</v>
      </c>
      <c r="C5" s="13">
        <f>+C7-B7</f>
        <v>673232</v>
      </c>
      <c r="D5" s="13">
        <f t="shared" ref="D5:J5" si="0">+D7-C7</f>
        <v>-9</v>
      </c>
      <c r="E5" s="13">
        <f t="shared" si="0"/>
        <v>-1152</v>
      </c>
      <c r="F5" s="13">
        <f>+F7-E7</f>
        <v>2663</v>
      </c>
      <c r="G5" s="13">
        <f t="shared" si="0"/>
        <v>59</v>
      </c>
      <c r="H5" s="13">
        <f t="shared" si="0"/>
        <v>-674793</v>
      </c>
      <c r="I5" s="13">
        <f>+I7-H7</f>
        <v>0</v>
      </c>
      <c r="J5" s="13">
        <f t="shared" si="0"/>
        <v>0</v>
      </c>
      <c r="K5" s="13">
        <f>+K7-J7</f>
        <v>0</v>
      </c>
      <c r="L5" s="13">
        <f>+L7-K7</f>
        <v>0</v>
      </c>
      <c r="M5" s="13">
        <f>+M7-L7</f>
        <v>0</v>
      </c>
      <c r="P5" s="52">
        <f>AVERAGE(P3:P4)</f>
        <v>2.1396697432402184E-3</v>
      </c>
      <c r="Q5" s="46" t="s">
        <v>325</v>
      </c>
      <c r="R5" s="359">
        <f>SUM(R3:R4)</f>
        <v>3934253.9863854237</v>
      </c>
      <c r="S5" s="359">
        <f>+S4+S3</f>
        <v>3880684.2218869007</v>
      </c>
      <c r="T5" s="363">
        <f>+SUM(T3:T4)-T6</f>
        <v>3828143.1466003302</v>
      </c>
      <c r="U5" s="363">
        <f>SUM(U3:U4)-U6</f>
        <v>3775377</v>
      </c>
      <c r="V5" s="363">
        <f>SUM(V3:V4)</f>
        <v>1087316</v>
      </c>
      <c r="W5" s="364">
        <f>+U5/V5</f>
        <v>3.4721985145072822</v>
      </c>
      <c r="Y5" s="191"/>
      <c r="Z5" s="358" t="s">
        <v>324</v>
      </c>
      <c r="AA5" s="359">
        <v>2769588</v>
      </c>
      <c r="AB5" s="359">
        <v>2374370</v>
      </c>
      <c r="AC5" s="359"/>
      <c r="AD5" s="49">
        <v>934478</v>
      </c>
    </row>
    <row r="6" spans="1:30">
      <c r="A6" s="940" t="s">
        <v>296</v>
      </c>
      <c r="B6" s="328" t="s">
        <v>117</v>
      </c>
      <c r="C6" s="328" t="s">
        <v>118</v>
      </c>
      <c r="D6" s="328" t="s">
        <v>119</v>
      </c>
      <c r="E6" s="328" t="s">
        <v>120</v>
      </c>
      <c r="F6" s="328" t="s">
        <v>121</v>
      </c>
      <c r="G6" s="328" t="s">
        <v>122</v>
      </c>
      <c r="H6" s="328" t="s">
        <v>123</v>
      </c>
      <c r="I6" s="328" t="s">
        <v>124</v>
      </c>
      <c r="J6" s="328" t="s">
        <v>125</v>
      </c>
      <c r="K6" s="328" t="s">
        <v>126</v>
      </c>
      <c r="L6" s="328" t="s">
        <v>127</v>
      </c>
      <c r="M6" s="328" t="s">
        <v>128</v>
      </c>
      <c r="Q6" s="46" t="s">
        <v>326</v>
      </c>
      <c r="R6" s="359">
        <v>182692.01361457646</v>
      </c>
      <c r="S6" s="359">
        <v>179703.77811309899</v>
      </c>
      <c r="T6" s="363">
        <v>176762.85339966958</v>
      </c>
      <c r="U6" s="360">
        <v>173812</v>
      </c>
      <c r="V6" s="360">
        <f>49975+22719</f>
        <v>72694</v>
      </c>
      <c r="W6" s="362">
        <f>+U6/V6</f>
        <v>2.3910088865656038</v>
      </c>
      <c r="Y6" s="52"/>
      <c r="Z6" s="567" t="s">
        <v>439</v>
      </c>
      <c r="AA6" s="568">
        <f>SUM(AA4:AA5)</f>
        <v>3798698</v>
      </c>
      <c r="AB6" s="568">
        <f>SUM(AB4:AB5)</f>
        <v>3339410</v>
      </c>
      <c r="AC6" s="359"/>
      <c r="AD6" s="47">
        <f>SUM(AD4:AD5)</f>
        <v>1297631</v>
      </c>
    </row>
    <row r="7" spans="1:30">
      <c r="A7" s="940"/>
      <c r="B7" s="330">
        <f>+'Resumen comercial'!AE7</f>
        <v>0</v>
      </c>
      <c r="C7" s="330">
        <f>+'Resumen comercial'!AE8</f>
        <v>673232</v>
      </c>
      <c r="D7" s="330">
        <f>+'Resumen comercial'!AE9</f>
        <v>673223</v>
      </c>
      <c r="E7" s="330">
        <f>+'Resumen comercial'!AE10</f>
        <v>672071</v>
      </c>
      <c r="F7" s="330">
        <f>+'Resumen comercial'!AE11</f>
        <v>674734</v>
      </c>
      <c r="G7" s="330">
        <f>+'Resumen comercial'!AE12</f>
        <v>674793</v>
      </c>
      <c r="H7" s="330">
        <f>+'Resumen comercial'!AE13</f>
        <v>0</v>
      </c>
      <c r="I7" s="330">
        <f>+'Resumen comercial'!AE14</f>
        <v>0</v>
      </c>
      <c r="J7" s="330">
        <f>+'Resumen comercial'!AE15</f>
        <v>0</v>
      </c>
      <c r="K7" s="330">
        <f>+'Resumen comercial'!AE16</f>
        <v>0</v>
      </c>
      <c r="L7" s="330">
        <f>+'Resumen comercial'!AE17</f>
        <v>0</v>
      </c>
      <c r="M7" s="330">
        <f>+'Resumen comercial'!AE18</f>
        <v>0</v>
      </c>
      <c r="P7" s="365">
        <f>+(R5-S5)/12</f>
        <v>4464.1470415435806</v>
      </c>
      <c r="Q7" s="46"/>
      <c r="R7" s="366">
        <f>+R5+R6</f>
        <v>4116946</v>
      </c>
      <c r="S7" s="366">
        <f>+S5+S6</f>
        <v>4060387.9999999995</v>
      </c>
      <c r="T7" s="366">
        <f>+T5+T6</f>
        <v>4004906</v>
      </c>
      <c r="U7" s="366">
        <f>+U5+U6</f>
        <v>3949189</v>
      </c>
      <c r="V7" s="366">
        <f>+V5-V6</f>
        <v>1014622</v>
      </c>
      <c r="W7" s="364">
        <f>+U7/V7</f>
        <v>3.8922761383056943</v>
      </c>
      <c r="Z7" s="46" t="s">
        <v>326</v>
      </c>
      <c r="AA7" s="359">
        <v>167040</v>
      </c>
      <c r="AB7" s="359">
        <f>SUM(78882,63137)</f>
        <v>142019</v>
      </c>
      <c r="AC7" s="359"/>
      <c r="AD7" s="360">
        <v>56168</v>
      </c>
    </row>
    <row r="8" spans="1:30">
      <c r="A8" s="332" t="s">
        <v>297</v>
      </c>
      <c r="B8" s="330">
        <f>+'Clientes alcantarillado 23-25'!N6</f>
        <v>0</v>
      </c>
      <c r="C8" s="330">
        <f>+'Clientes alcantarillado 23-25'!N7</f>
        <v>363393</v>
      </c>
      <c r="D8" s="330">
        <f>+'Clientes alcantarillado 23-25'!N8</f>
        <v>376935</v>
      </c>
      <c r="E8" s="330">
        <f>+'Clientes alcantarillado 23-25'!N9</f>
        <v>211944</v>
      </c>
      <c r="F8" s="330">
        <f>+'Clientes alcantarillado 23-25'!N10</f>
        <v>213916</v>
      </c>
      <c r="G8" s="330">
        <f>+'Clientes alcantarillado 23-25'!N11</f>
        <v>212600</v>
      </c>
      <c r="H8" s="330">
        <f>+'Clientes alcantarillado 23-25'!N12</f>
        <v>0</v>
      </c>
      <c r="I8" s="330">
        <f>+'Clientes alcantarillado 23-25'!N13</f>
        <v>0</v>
      </c>
      <c r="J8" s="330">
        <f>+'Clientes alcantarillado 23-25'!N14</f>
        <v>0</v>
      </c>
      <c r="K8" s="330">
        <f>+'Clientes alcantarillado 23-25'!N15</f>
        <v>0</v>
      </c>
      <c r="L8" s="330">
        <f>+'Clientes alcantarillado 23-25'!N16</f>
        <v>0</v>
      </c>
      <c r="M8" s="330">
        <f>+'Clientes alcantarillado 23-25'!N17</f>
        <v>0</v>
      </c>
      <c r="Y8" s="365">
        <f>+(AA8-AB8)/12/12</f>
        <v>3015.7430555555552</v>
      </c>
      <c r="Z8" s="567" t="s">
        <v>325</v>
      </c>
      <c r="AA8" s="569">
        <f>+AA6-AA7</f>
        <v>3631658</v>
      </c>
      <c r="AB8" s="569">
        <f>+AB6-AB7</f>
        <v>3197391</v>
      </c>
      <c r="AC8" s="366">
        <f>AA8-AB8</f>
        <v>434267</v>
      </c>
      <c r="AD8" s="569">
        <f>+AD6-AD7</f>
        <v>1241463</v>
      </c>
    </row>
    <row r="9" spans="1:30">
      <c r="A9" s="333" t="s">
        <v>298</v>
      </c>
      <c r="B9" s="826" t="e">
        <f>+B8/B7</f>
        <v>#DIV/0!</v>
      </c>
      <c r="C9" s="334">
        <f>+C8/C7</f>
        <v>0.5397738075433135</v>
      </c>
      <c r="D9" s="334">
        <f t="shared" ref="D9:M9" si="1">+D8/D7</f>
        <v>0.55989620081310354</v>
      </c>
      <c r="E9" s="334">
        <f t="shared" si="1"/>
        <v>0.31535953790596527</v>
      </c>
      <c r="F9" s="334">
        <f t="shared" si="1"/>
        <v>0.31703752886322611</v>
      </c>
      <c r="G9" s="334">
        <f t="shared" si="1"/>
        <v>0.31505958123454153</v>
      </c>
      <c r="H9" s="334" t="e">
        <f t="shared" si="1"/>
        <v>#DIV/0!</v>
      </c>
      <c r="I9" s="334" t="e">
        <f t="shared" si="1"/>
        <v>#DIV/0!</v>
      </c>
      <c r="J9" s="334" t="e">
        <f t="shared" si="1"/>
        <v>#DIV/0!</v>
      </c>
      <c r="K9" s="513" t="e">
        <f>+K8/K7</f>
        <v>#DIV/0!</v>
      </c>
      <c r="L9" s="513" t="e">
        <f t="shared" si="1"/>
        <v>#DIV/0!</v>
      </c>
      <c r="M9" s="513" t="e">
        <f t="shared" si="1"/>
        <v>#DIV/0!</v>
      </c>
      <c r="P9" s="108" t="s">
        <v>328</v>
      </c>
      <c r="AA9" s="367">
        <f>+AA8*300*0.8</f>
        <v>871597920</v>
      </c>
    </row>
    <row r="10" spans="1:30">
      <c r="A10" s="333" t="s">
        <v>299</v>
      </c>
      <c r="B10" s="827" t="e">
        <f>+B9*$B$21</f>
        <v>#DIV/0!</v>
      </c>
      <c r="C10" s="335">
        <f>+C9*$B$21</f>
        <v>1927389.9027746094</v>
      </c>
      <c r="D10" s="335">
        <f>+D9*$B$21</f>
        <v>1999241.6619112194</v>
      </c>
      <c r="E10" s="335">
        <f t="shared" ref="E10:G10" si="2">+E9*$B$21</f>
        <v>1126065.7345898547</v>
      </c>
      <c r="F10" s="335">
        <f t="shared" si="2"/>
        <v>1132057.3977324057</v>
      </c>
      <c r="G10" s="335">
        <f t="shared" si="2"/>
        <v>1124994.6684290061</v>
      </c>
      <c r="H10" s="335" t="e">
        <f t="shared" ref="H10" si="3">+H9*$B$21</f>
        <v>#DIV/0!</v>
      </c>
      <c r="I10" s="335" t="e">
        <f t="shared" ref="I10" si="4">+I9*$B$21</f>
        <v>#DIV/0!</v>
      </c>
      <c r="J10" s="335" t="e">
        <f t="shared" ref="J10" si="5">+J9*$B$21</f>
        <v>#DIV/0!</v>
      </c>
      <c r="K10" s="514" t="e">
        <f>+K9*$B$15</f>
        <v>#DIV/0!</v>
      </c>
      <c r="L10" s="514" t="e">
        <f t="shared" ref="L10:M10" si="6">+L9*$B$15</f>
        <v>#DIV/0!</v>
      </c>
      <c r="M10" s="514" t="e">
        <f t="shared" si="6"/>
        <v>#DIV/0!</v>
      </c>
      <c r="AA10" s="254">
        <f>+AA9/1000</f>
        <v>871597.92</v>
      </c>
      <c r="AD10" s="570"/>
    </row>
    <row r="11" spans="1:30" ht="57">
      <c r="A11" s="333" t="s">
        <v>300</v>
      </c>
      <c r="B11" s="336" t="e">
        <f>+(B10*300*0.8)/1000</f>
        <v>#DIV/0!</v>
      </c>
      <c r="C11" s="336">
        <f t="shared" ref="C11:M11" si="7">+(C10*300*0.8)/1000</f>
        <v>462573.57666590624</v>
      </c>
      <c r="D11" s="336">
        <f t="shared" si="7"/>
        <v>479817.99885869265</v>
      </c>
      <c r="E11" s="336">
        <f t="shared" si="7"/>
        <v>270255.77630156511</v>
      </c>
      <c r="F11" s="336">
        <f t="shared" si="7"/>
        <v>271693.77545577736</v>
      </c>
      <c r="G11" s="336">
        <f t="shared" si="7"/>
        <v>269998.72042296146</v>
      </c>
      <c r="H11" s="336" t="e">
        <f t="shared" si="7"/>
        <v>#DIV/0!</v>
      </c>
      <c r="I11" s="336" t="e">
        <f t="shared" si="7"/>
        <v>#DIV/0!</v>
      </c>
      <c r="J11" s="336" t="e">
        <f t="shared" si="7"/>
        <v>#DIV/0!</v>
      </c>
      <c r="K11" s="515" t="e">
        <f>+(K10*300*0.8)/1000</f>
        <v>#DIV/0!</v>
      </c>
      <c r="L11" s="515" t="e">
        <f t="shared" si="7"/>
        <v>#DIV/0!</v>
      </c>
      <c r="M11" s="515" t="e">
        <f t="shared" si="7"/>
        <v>#DIV/0!</v>
      </c>
      <c r="P11" s="295" t="s">
        <v>258</v>
      </c>
      <c r="Q11" s="332" t="s">
        <v>329</v>
      </c>
      <c r="R11" s="332" t="s">
        <v>330</v>
      </c>
      <c r="S11" s="327" t="s">
        <v>331</v>
      </c>
      <c r="T11" s="327" t="s">
        <v>332</v>
      </c>
      <c r="U11" s="368" t="s">
        <v>49</v>
      </c>
      <c r="V11" s="369" t="s">
        <v>333</v>
      </c>
    </row>
    <row r="12" spans="1:30" ht="23.25">
      <c r="A12" s="333" t="s">
        <v>301</v>
      </c>
      <c r="B12" s="718" t="e">
        <f>+B11/U12</f>
        <v>#DIV/0!</v>
      </c>
      <c r="C12" s="744">
        <f>+C11/U13</f>
        <v>0.33436796188717455</v>
      </c>
      <c r="D12" s="324">
        <f>+D11/U14</f>
        <v>0.35998648572931985</v>
      </c>
      <c r="E12" s="324">
        <f>+E11/U15</f>
        <v>0.20445052493486926</v>
      </c>
      <c r="F12" s="324">
        <f>+F11/U16</f>
        <v>0.20992409324790348</v>
      </c>
      <c r="G12" s="324">
        <f>+G11/U17</f>
        <v>0.2010778162189186</v>
      </c>
      <c r="H12" s="324" t="e">
        <f>+H11/U18</f>
        <v>#DIV/0!</v>
      </c>
      <c r="I12" s="324" t="e">
        <f>+I11/U19</f>
        <v>#DIV/0!</v>
      </c>
      <c r="J12" s="744" t="e">
        <f>+J11/U23</f>
        <v>#DIV/0!</v>
      </c>
      <c r="K12" s="516" t="e">
        <f>+K11/U24</f>
        <v>#DIV/0!</v>
      </c>
      <c r="L12" s="516" t="e">
        <f>+L11/U25</f>
        <v>#DIV/0!</v>
      </c>
      <c r="M12" s="516" t="e">
        <f>+M11/U26</f>
        <v>#DIV/0!</v>
      </c>
      <c r="P12" s="295" t="s">
        <v>117</v>
      </c>
      <c r="Q12" s="254">
        <f>+'Producción MGD'!$D$43</f>
        <v>454.27696774193544</v>
      </c>
      <c r="R12" s="254">
        <f>+Q12/264</f>
        <v>1.7207460899315736</v>
      </c>
      <c r="S12" s="254">
        <f>+R12*0.8*1000000</f>
        <v>1376596.8719452589</v>
      </c>
      <c r="T12" s="254"/>
      <c r="U12" s="370">
        <f>SUM(S12:T12)</f>
        <v>1376596.8719452589</v>
      </c>
      <c r="V12" s="46"/>
    </row>
    <row r="13" spans="1:30">
      <c r="A13" s="333" t="s">
        <v>302</v>
      </c>
      <c r="B13" s="718" t="e">
        <f t="shared" ref="B13:G13" si="8">+$B$19/B11</f>
        <v>#DIV/0!</v>
      </c>
      <c r="C13" s="744">
        <f t="shared" si="8"/>
        <v>0.1902549441633217</v>
      </c>
      <c r="D13" s="324">
        <f t="shared" si="8"/>
        <v>0.18341727531967431</v>
      </c>
      <c r="E13" s="324">
        <f t="shared" si="8"/>
        <v>0.32564303048160359</v>
      </c>
      <c r="F13" s="324">
        <f t="shared" si="8"/>
        <v>0.32391949301144213</v>
      </c>
      <c r="G13" s="324">
        <f t="shared" si="8"/>
        <v>0.32595306326687185</v>
      </c>
      <c r="H13" s="738" t="e">
        <f>+$C$19/H11</f>
        <v>#DIV/0!</v>
      </c>
      <c r="I13" s="738" t="e">
        <f>+$C$19/I11</f>
        <v>#DIV/0!</v>
      </c>
      <c r="J13" s="738" t="e">
        <f>+$C$19/J11</f>
        <v>#DIV/0!</v>
      </c>
      <c r="K13" s="516" t="e">
        <f>+$B$19/K11</f>
        <v>#DIV/0!</v>
      </c>
      <c r="L13" s="516" t="e">
        <f>+$B$19/L11</f>
        <v>#DIV/0!</v>
      </c>
      <c r="M13" s="516" t="e">
        <f>+$B$19/M11</f>
        <v>#DIV/0!</v>
      </c>
      <c r="P13" s="295" t="s">
        <v>118</v>
      </c>
      <c r="Q13" s="254">
        <f>+'Producción MGD'!$E$43</f>
        <v>456.53082142857141</v>
      </c>
      <c r="R13" s="254">
        <f>+Q13/264</f>
        <v>1.7292834145021645</v>
      </c>
      <c r="S13" s="254">
        <f>+R13*0.8*1000000</f>
        <v>1383426.7316017316</v>
      </c>
      <c r="T13" s="254"/>
      <c r="U13" s="370">
        <f>SUM(S13:T13)</f>
        <v>1383426.7316017316</v>
      </c>
      <c r="V13" s="360"/>
      <c r="W13" s="52"/>
    </row>
    <row r="14" spans="1:30">
      <c r="A14" s="332" t="s">
        <v>303</v>
      </c>
      <c r="B14" s="506" t="e">
        <f>+B13*B11</f>
        <v>#DIV/0!</v>
      </c>
      <c r="C14" s="506">
        <f>+C13*C11</f>
        <v>88006.91</v>
      </c>
      <c r="D14" s="506">
        <f t="shared" ref="D14:M14" si="9">+D13*D11</f>
        <v>88006.91</v>
      </c>
      <c r="E14" s="828">
        <f>+E13*E11</f>
        <v>88006.91</v>
      </c>
      <c r="F14" s="506">
        <f t="shared" si="9"/>
        <v>88006.91</v>
      </c>
      <c r="G14" s="506">
        <f t="shared" si="9"/>
        <v>88006.91</v>
      </c>
      <c r="H14" s="506" t="e">
        <f>+H13*H11</f>
        <v>#DIV/0!</v>
      </c>
      <c r="I14" s="506" t="e">
        <f>+I13*I11</f>
        <v>#DIV/0!</v>
      </c>
      <c r="J14" s="506" t="e">
        <f>+J13*J11</f>
        <v>#DIV/0!</v>
      </c>
      <c r="K14" s="520" t="e">
        <f>+K13*K11</f>
        <v>#DIV/0!</v>
      </c>
      <c r="L14" s="517" t="e">
        <f t="shared" si="9"/>
        <v>#DIV/0!</v>
      </c>
      <c r="M14" s="517" t="e">
        <f t="shared" si="9"/>
        <v>#DIV/0!</v>
      </c>
      <c r="P14" s="295" t="s">
        <v>119</v>
      </c>
      <c r="Q14" s="254">
        <f>+'Producción MGD'!$F$43</f>
        <v>439.84967741935486</v>
      </c>
      <c r="R14" s="254">
        <f>+Q14/264</f>
        <v>1.6660972629521018</v>
      </c>
      <c r="S14" s="254">
        <f>+R14*0.8*1000000</f>
        <v>1332877.8103616817</v>
      </c>
      <c r="T14" s="254"/>
      <c r="U14" s="370">
        <f t="shared" ref="U14:U26" si="10">SUM(S14:T14)</f>
        <v>1332877.8103616817</v>
      </c>
      <c r="V14" s="362"/>
    </row>
    <row r="15" spans="1:30" ht="23.25">
      <c r="A15" s="338" t="s">
        <v>327</v>
      </c>
      <c r="B15" s="339">
        <f>+B16*0.953</f>
        <v>3749344.0490253088</v>
      </c>
      <c r="C15" s="191">
        <f>+(B15*300*0.8)/1000</f>
        <v>899842.57176607416</v>
      </c>
      <c r="D15" s="507">
        <f>+D14/C15</f>
        <v>9.7802563205332038E-2</v>
      </c>
      <c r="E15" s="4"/>
      <c r="F15" s="4"/>
      <c r="G15" s="4"/>
      <c r="H15" s="4"/>
      <c r="I15" s="14"/>
      <c r="J15" s="14"/>
      <c r="K15" s="518"/>
      <c r="L15" s="518"/>
      <c r="M15" s="519"/>
      <c r="P15" s="295" t="s">
        <v>120</v>
      </c>
      <c r="Q15" s="254">
        <f>+'Producción MGD'!G43</f>
        <v>436.21510000000001</v>
      </c>
      <c r="R15" s="254">
        <f>+Q15/264</f>
        <v>1.6523299242424243</v>
      </c>
      <c r="S15" s="254">
        <f>+R15*0.8*1000000</f>
        <v>1321863.9393939395</v>
      </c>
      <c r="T15" s="254"/>
      <c r="U15" s="370">
        <f t="shared" si="10"/>
        <v>1321863.9393939395</v>
      </c>
      <c r="V15" s="360"/>
    </row>
    <row r="16" spans="1:30">
      <c r="A16" s="341" t="s">
        <v>320</v>
      </c>
      <c r="B16" s="342">
        <f>+R5</f>
        <v>3934253.9863854237</v>
      </c>
      <c r="C16" s="191">
        <f>+(B16*300*0.8)/1000</f>
        <v>944220.95673250163</v>
      </c>
      <c r="D16" s="340">
        <f>+D14/C16</f>
        <v>9.3205842734681452E-2</v>
      </c>
      <c r="E16">
        <f>+D16*0.92</f>
        <v>8.5749375315906942E-2</v>
      </c>
      <c r="G16" s="343">
        <v>376384</v>
      </c>
      <c r="J16" s="5">
        <f>+J15+I15+H15</f>
        <v>0</v>
      </c>
      <c r="M16" s="191"/>
      <c r="P16" s="295" t="s">
        <v>121</v>
      </c>
      <c r="Q16" s="254">
        <f>+'Producción MGD'!H43</f>
        <v>427.10174193548386</v>
      </c>
      <c r="R16" s="254">
        <f t="shared" ref="R16:R26" si="11">+Q16/264</f>
        <v>1.6178096285434995</v>
      </c>
      <c r="S16" s="254">
        <f t="shared" ref="S16:S26" si="12">+R16*0.8*1000000</f>
        <v>1294247.7028347997</v>
      </c>
      <c r="T16" s="254"/>
      <c r="U16" s="370">
        <f>SUM(S16:T16)</f>
        <v>1294247.7028347997</v>
      </c>
      <c r="V16" s="362"/>
      <c r="W16" s="261"/>
    </row>
    <row r="17" spans="1:24">
      <c r="A17" s="344" t="s">
        <v>304</v>
      </c>
      <c r="B17" s="273">
        <f>+B16*0.1449</f>
        <v>570073.40262724785</v>
      </c>
      <c r="C17" s="273">
        <f>+B17*300*0.8</f>
        <v>136817616.63053951</v>
      </c>
      <c r="D17" s="191">
        <f>+C17/1000</f>
        <v>136817.6166305395</v>
      </c>
      <c r="G17" s="345">
        <f>+G16*300*0.8</f>
        <v>90332160</v>
      </c>
      <c r="M17" s="59"/>
      <c r="P17" s="295" t="s">
        <v>122</v>
      </c>
      <c r="Q17" s="254">
        <f>+'Producción MGD'!I43</f>
        <v>443.10993333333334</v>
      </c>
      <c r="R17" s="254">
        <f t="shared" si="11"/>
        <v>1.6784467171717172</v>
      </c>
      <c r="S17" s="254">
        <f t="shared" si="12"/>
        <v>1342757.3737373739</v>
      </c>
      <c r="T17" s="254"/>
      <c r="U17" s="371">
        <f t="shared" si="10"/>
        <v>1342757.3737373739</v>
      </c>
      <c r="V17" s="46"/>
      <c r="W17" s="52"/>
    </row>
    <row r="18" spans="1:24" ht="23.25">
      <c r="A18" s="344" t="s">
        <v>305</v>
      </c>
      <c r="B18" s="191">
        <f>+B16*0.908</f>
        <v>3572302.6196379648</v>
      </c>
      <c r="G18" s="346">
        <f>+G17/1000</f>
        <v>90332.160000000003</v>
      </c>
      <c r="H18" s="277" t="e">
        <f>+B14/G18</f>
        <v>#DIV/0!</v>
      </c>
      <c r="P18" s="295" t="s">
        <v>123</v>
      </c>
      <c r="Q18" s="254">
        <f>+'Producción MGD'!J43</f>
        <v>0</v>
      </c>
      <c r="R18" s="254">
        <f>+Q18/264</f>
        <v>0</v>
      </c>
      <c r="S18" s="254">
        <f>+R18*0.8*1000000</f>
        <v>0</v>
      </c>
      <c r="T18" s="254"/>
      <c r="U18" s="371">
        <f t="shared" si="10"/>
        <v>0</v>
      </c>
      <c r="V18" s="46"/>
    </row>
    <row r="19" spans="1:24" ht="16.5" thickBot="1">
      <c r="A19" s="344" t="s">
        <v>303</v>
      </c>
      <c r="B19">
        <v>88006.91</v>
      </c>
      <c r="G19" s="22"/>
      <c r="P19" s="295" t="s">
        <v>124</v>
      </c>
      <c r="Q19" s="254">
        <f>+'Producción MGD'!K43</f>
        <v>0</v>
      </c>
      <c r="R19" s="254">
        <f t="shared" si="11"/>
        <v>0</v>
      </c>
      <c r="S19" s="254">
        <f t="shared" si="12"/>
        <v>0</v>
      </c>
      <c r="T19" s="254"/>
      <c r="U19" s="371">
        <f>SUM(S19:T19)</f>
        <v>0</v>
      </c>
      <c r="V19" s="46"/>
    </row>
    <row r="20" spans="1:24">
      <c r="A20" s="572" t="s">
        <v>442</v>
      </c>
      <c r="B20" s="573">
        <f>SUM('cobertura de alcantarillado san'!B14)</f>
        <v>3719516.9297448965</v>
      </c>
      <c r="G20" s="22"/>
      <c r="P20" s="295"/>
      <c r="Q20" s="254"/>
      <c r="R20" s="254"/>
      <c r="S20" s="254"/>
      <c r="T20" s="254"/>
      <c r="U20" s="371"/>
      <c r="V20" s="46"/>
    </row>
    <row r="21" spans="1:24" ht="24" thickBot="1">
      <c r="A21" s="574" t="s">
        <v>443</v>
      </c>
      <c r="B21" s="575">
        <f>+B20*0.96</f>
        <v>3570736.2525551007</v>
      </c>
      <c r="G21" s="22"/>
      <c r="P21" s="295"/>
      <c r="Q21" s="254"/>
      <c r="R21" s="254"/>
      <c r="S21" s="254"/>
      <c r="T21" s="254"/>
      <c r="U21" s="371"/>
      <c r="V21" s="46"/>
    </row>
    <row r="22" spans="1:24">
      <c r="A22" s="576"/>
      <c r="B22" s="577" t="e">
        <f>+B14*31</f>
        <v>#DIV/0!</v>
      </c>
      <c r="C22" s="578">
        <f>+C14*29</f>
        <v>2552200.39</v>
      </c>
      <c r="D22" s="578">
        <f>+D14*31</f>
        <v>2728214.21</v>
      </c>
      <c r="E22" s="579"/>
      <c r="F22" s="579"/>
      <c r="G22" s="580"/>
      <c r="H22" s="579"/>
      <c r="I22" s="579"/>
      <c r="J22" s="579"/>
      <c r="K22" s="579"/>
      <c r="L22" s="579"/>
      <c r="M22" s="579"/>
      <c r="N22" s="5" t="e">
        <f>SUM(B22:M22)</f>
        <v>#DIV/0!</v>
      </c>
      <c r="P22" s="295"/>
      <c r="Q22" s="254"/>
      <c r="R22" s="254"/>
      <c r="S22" s="254"/>
      <c r="T22" s="254"/>
      <c r="U22" s="371"/>
      <c r="V22" s="46"/>
    </row>
    <row r="23" spans="1:24">
      <c r="C23">
        <v>1</v>
      </c>
      <c r="D23" t="s">
        <v>306</v>
      </c>
      <c r="E23">
        <v>264.27999999999997</v>
      </c>
      <c r="F23" t="s">
        <v>307</v>
      </c>
      <c r="P23" s="295" t="s">
        <v>125</v>
      </c>
      <c r="Q23" s="254">
        <f>+'Producción MGD'!L43</f>
        <v>0</v>
      </c>
      <c r="R23" s="254">
        <f t="shared" si="11"/>
        <v>0</v>
      </c>
      <c r="S23" s="254">
        <f>+R23*0.8*1000000</f>
        <v>0</v>
      </c>
      <c r="T23" s="254"/>
      <c r="U23" s="371">
        <f>SUM(S23:T23)</f>
        <v>0</v>
      </c>
      <c r="V23" s="46"/>
      <c r="W23">
        <f>+Q24/22.827</f>
        <v>0</v>
      </c>
    </row>
    <row r="24" spans="1:24">
      <c r="A24" s="347"/>
      <c r="B24" s="348" t="e">
        <f>+C19/B11</f>
        <v>#DIV/0!</v>
      </c>
      <c r="C24" s="347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P24" s="295" t="s">
        <v>126</v>
      </c>
      <c r="Q24" s="254">
        <f>+'Producción MGD'!M43</f>
        <v>0</v>
      </c>
      <c r="R24" s="254">
        <f t="shared" si="11"/>
        <v>0</v>
      </c>
      <c r="S24" s="254">
        <f t="shared" si="12"/>
        <v>0</v>
      </c>
      <c r="T24" s="254"/>
      <c r="U24" s="371">
        <f t="shared" si="10"/>
        <v>0</v>
      </c>
      <c r="V24" s="46"/>
      <c r="W24">
        <f>+Q25/22.827</f>
        <v>0</v>
      </c>
    </row>
    <row r="25" spans="1:24">
      <c r="A25" s="191">
        <f>+B15/4</f>
        <v>937336.0122563272</v>
      </c>
      <c r="C25">
        <v>1</v>
      </c>
      <c r="D25" t="s">
        <v>308</v>
      </c>
      <c r="E25">
        <v>3.7850000000000001</v>
      </c>
      <c r="F25" t="s">
        <v>309</v>
      </c>
      <c r="J25" s="277"/>
      <c r="P25" s="295" t="s">
        <v>127</v>
      </c>
      <c r="Q25" s="254">
        <f>+'Producción MGD'!N43</f>
        <v>0</v>
      </c>
      <c r="R25" s="254">
        <f t="shared" si="11"/>
        <v>0</v>
      </c>
      <c r="S25" s="254">
        <f>+R25*0.8*1000000</f>
        <v>0</v>
      </c>
      <c r="T25" s="254"/>
      <c r="U25" s="371">
        <f t="shared" si="10"/>
        <v>0</v>
      </c>
      <c r="V25" s="46"/>
      <c r="W25" s="191"/>
    </row>
    <row r="26" spans="1:24">
      <c r="A26" s="191">
        <f>+B16/3.82</f>
        <v>1029909.4205197445</v>
      </c>
      <c r="P26" s="295" t="s">
        <v>128</v>
      </c>
      <c r="Q26" s="254">
        <f>+'Producción MGD'!O43</f>
        <v>0</v>
      </c>
      <c r="R26" s="254">
        <f t="shared" si="11"/>
        <v>0</v>
      </c>
      <c r="S26" s="254">
        <f t="shared" si="12"/>
        <v>0</v>
      </c>
      <c r="T26" s="254"/>
      <c r="U26" s="371">
        <f t="shared" si="10"/>
        <v>0</v>
      </c>
      <c r="V26" s="46"/>
      <c r="X26">
        <f>69*7</f>
        <v>483</v>
      </c>
    </row>
    <row r="27" spans="1:24">
      <c r="A27" s="191"/>
      <c r="Q27" s="191"/>
      <c r="R27" s="191"/>
      <c r="S27" s="372"/>
    </row>
    <row r="28" spans="1:24">
      <c r="A28" s="191"/>
      <c r="B28" s="191"/>
      <c r="Q28" s="52">
        <f>AVERAGE(Q12:Q25)</f>
        <v>241.5531128962435</v>
      </c>
      <c r="R28" s="191">
        <f>+Q28/264</f>
        <v>0.91497391248577087</v>
      </c>
      <c r="S28" s="191">
        <f>+R28*1000000</f>
        <v>914973.91248577088</v>
      </c>
      <c r="T28" s="52">
        <f>+S28+T26</f>
        <v>914973.91248577088</v>
      </c>
      <c r="U28" s="191">
        <f>+T28*0.8</f>
        <v>731979.1299886168</v>
      </c>
    </row>
    <row r="29" spans="1:24">
      <c r="A29" s="191"/>
      <c r="C29">
        <f>40000/4</f>
        <v>10000</v>
      </c>
      <c r="Q29">
        <f>+Q28/22.827</f>
        <v>10.581903574549591</v>
      </c>
      <c r="S29">
        <f>+U15/S30</f>
        <v>15.299351150392818</v>
      </c>
    </row>
    <row r="30" spans="1:24">
      <c r="R30" s="191">
        <f>17*60*60*24</f>
        <v>1468800</v>
      </c>
      <c r="S30">
        <f>60*60*24</f>
        <v>86400</v>
      </c>
    </row>
    <row r="31" spans="1:24">
      <c r="B31" s="349" t="s">
        <v>310</v>
      </c>
      <c r="C31" s="350" t="s">
        <v>311</v>
      </c>
    </row>
    <row r="32" spans="1:24">
      <c r="B32" s="349" t="s">
        <v>312</v>
      </c>
      <c r="C32" s="52">
        <v>888815.59999999963</v>
      </c>
    </row>
    <row r="33" spans="2:8" ht="16.5" thickBot="1">
      <c r="B33" s="349" t="s">
        <v>313</v>
      </c>
      <c r="C33" s="52">
        <v>232459.128</v>
      </c>
      <c r="E33" t="s">
        <v>287</v>
      </c>
      <c r="F33" t="s">
        <v>288</v>
      </c>
      <c r="G33" t="s">
        <v>289</v>
      </c>
      <c r="H33" t="s">
        <v>314</v>
      </c>
    </row>
    <row r="34" spans="2:8" ht="16.5" thickBot="1">
      <c r="B34" s="349" t="s">
        <v>315</v>
      </c>
      <c r="C34" s="259">
        <v>182994.8</v>
      </c>
      <c r="E34" s="351">
        <v>97.55</v>
      </c>
      <c r="F34" s="352">
        <v>98.28</v>
      </c>
      <c r="G34" s="352">
        <v>97.54</v>
      </c>
      <c r="H34">
        <f>+AVERAGE(E34:G34)</f>
        <v>97.79</v>
      </c>
    </row>
    <row r="35" spans="2:8" ht="16.5" thickBot="1">
      <c r="E35" s="353">
        <v>99.26</v>
      </c>
      <c r="F35" s="353">
        <v>99.63</v>
      </c>
      <c r="G35" s="353">
        <v>99.05</v>
      </c>
      <c r="H35" s="260">
        <f>+AVERAGE(E35:G35)</f>
        <v>99.313333333333333</v>
      </c>
    </row>
    <row r="36" spans="2:8" ht="16.5" thickBot="1">
      <c r="B36" s="59">
        <f>+C34/C32</f>
        <v>0.20588612531103198</v>
      </c>
      <c r="E36" s="354">
        <v>96.76</v>
      </c>
      <c r="F36" s="354">
        <v>97.91</v>
      </c>
      <c r="G36" s="354">
        <v>98.72</v>
      </c>
      <c r="H36" s="260">
        <f>+AVERAGE(E36:G36)</f>
        <v>97.796666666666667</v>
      </c>
    </row>
    <row r="37" spans="2:8" ht="16.5" thickBot="1">
      <c r="B37" s="59">
        <f>+C33/C32</f>
        <v>0.26153808281492819</v>
      </c>
      <c r="E37" s="354">
        <v>88.43</v>
      </c>
      <c r="F37" s="354">
        <v>85.23</v>
      </c>
      <c r="G37" s="354">
        <v>70.3</v>
      </c>
      <c r="H37" s="260">
        <f>+AVERAGE(E37:G37)</f>
        <v>81.320000000000007</v>
      </c>
    </row>
    <row r="38" spans="2:8">
      <c r="E38">
        <v>426.95600000000002</v>
      </c>
      <c r="F38">
        <v>424.65699999999998</v>
      </c>
      <c r="G38">
        <v>425.71499999999997</v>
      </c>
      <c r="H38" s="260">
        <f>+AVERAGE(H34:H37)</f>
        <v>94.055000000000007</v>
      </c>
    </row>
    <row r="39" spans="2:8">
      <c r="B39" s="191">
        <v>64960</v>
      </c>
      <c r="C39" s="52">
        <f>+C33/B39</f>
        <v>3.5784964285714285</v>
      </c>
    </row>
    <row r="40" spans="2:8">
      <c r="B40" s="59">
        <f>+B39/C32</f>
        <v>7.3086025942839014E-2</v>
      </c>
      <c r="C40" s="52"/>
    </row>
    <row r="41" spans="2:8">
      <c r="B41" s="59">
        <f>+C53/B39</f>
        <v>0.33805418719211822</v>
      </c>
    </row>
    <row r="43" spans="2:8">
      <c r="B43" s="79">
        <f>+C33-B39</f>
        <v>167499.128</v>
      </c>
      <c r="C43" s="52">
        <f>+C33/B39</f>
        <v>3.5784964285714285</v>
      </c>
    </row>
    <row r="44" spans="2:8">
      <c r="B44" s="52">
        <f>+B43/B39</f>
        <v>2.5784964285714285</v>
      </c>
    </row>
    <row r="49" spans="1:4">
      <c r="B49" t="s">
        <v>310</v>
      </c>
      <c r="C49" t="s">
        <v>311</v>
      </c>
    </row>
    <row r="50" spans="1:4">
      <c r="B50" t="s">
        <v>312</v>
      </c>
      <c r="C50" s="191">
        <v>1169152.02000591</v>
      </c>
    </row>
    <row r="51" spans="1:4">
      <c r="B51" t="s">
        <v>313</v>
      </c>
      <c r="C51" s="191">
        <v>113040.75958671262</v>
      </c>
    </row>
    <row r="52" spans="1:4">
      <c r="B52" t="s">
        <v>316</v>
      </c>
      <c r="C52" s="191">
        <v>64960</v>
      </c>
    </row>
    <row r="53" spans="1:4">
      <c r="B53" t="s">
        <v>315</v>
      </c>
      <c r="C53" s="191">
        <v>21960</v>
      </c>
      <c r="D53" s="191">
        <f>+C53*414.758%</f>
        <v>91080.856799999994</v>
      </c>
    </row>
    <row r="55" spans="1:4">
      <c r="A55" s="59">
        <f>+C53/C51</f>
        <v>0.19426621052696189</v>
      </c>
    </row>
    <row r="56" spans="1:4">
      <c r="A56" s="59">
        <f>+C53/C50</f>
        <v>1.8782843996530917E-2</v>
      </c>
    </row>
    <row r="57" spans="1:4">
      <c r="A57" s="79">
        <f>+C51-C53</f>
        <v>91080.759586712622</v>
      </c>
    </row>
    <row r="58" spans="1:4">
      <c r="A58" s="355">
        <f>+A57/C53</f>
        <v>4.1475755731654198</v>
      </c>
    </row>
    <row r="59" spans="1:4">
      <c r="A59" s="59">
        <f>+C51/C53</f>
        <v>5.1475755731654198</v>
      </c>
    </row>
    <row r="104" spans="2:3">
      <c r="B104" t="s">
        <v>310</v>
      </c>
    </row>
    <row r="105" spans="2:3" ht="26.25">
      <c r="B105" s="356" t="s">
        <v>312</v>
      </c>
      <c r="C105" s="357">
        <v>1135292.01</v>
      </c>
    </row>
    <row r="106" spans="2:3" ht="18">
      <c r="B106" s="356" t="s">
        <v>317</v>
      </c>
      <c r="C106" s="191">
        <v>790652.4</v>
      </c>
    </row>
    <row r="107" spans="2:3" ht="51">
      <c r="B107" s="356" t="s">
        <v>318</v>
      </c>
      <c r="C107" s="357">
        <v>90332.06</v>
      </c>
    </row>
    <row r="108" spans="2:3" ht="18">
      <c r="B108" s="356" t="s">
        <v>316</v>
      </c>
      <c r="C108" s="191">
        <v>64960</v>
      </c>
    </row>
    <row r="109" spans="2:3" ht="26.25">
      <c r="B109" s="356" t="s">
        <v>319</v>
      </c>
      <c r="C109" s="191">
        <v>21960</v>
      </c>
    </row>
    <row r="111" spans="2:3">
      <c r="C111">
        <f>+C109/C107</f>
        <v>0.24310305776265925</v>
      </c>
    </row>
    <row r="112" spans="2:3">
      <c r="C112" s="22">
        <f>+C109/C106</f>
        <v>2.777453151346913E-2</v>
      </c>
    </row>
  </sheetData>
  <mergeCells count="2">
    <mergeCell ref="A6:A7"/>
    <mergeCell ref="S1:T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A42E4-95DF-42E4-9CBB-B594B6316990}">
  <sheetPr codeName="Hoja17">
    <tabColor rgb="FF92D050"/>
  </sheetPr>
  <dimension ref="A1:X226"/>
  <sheetViews>
    <sheetView topLeftCell="H28" zoomScale="85" zoomScaleNormal="85" workbookViewId="0">
      <selection activeCell="K32" sqref="K32"/>
    </sheetView>
  </sheetViews>
  <sheetFormatPr baseColWidth="10" defaultRowHeight="15.75"/>
  <cols>
    <col min="1" max="1" width="25.125" customWidth="1"/>
    <col min="2" max="2" width="13.5" customWidth="1"/>
    <col min="3" max="3" width="16.125" style="344" customWidth="1"/>
    <col min="4" max="4" width="49" customWidth="1"/>
    <col min="5" max="5" width="12.125" customWidth="1"/>
    <col min="6" max="6" width="22.375" bestFit="1" customWidth="1"/>
    <col min="7" max="7" width="14.25" bestFit="1" customWidth="1"/>
    <col min="8" max="8" width="16.375" customWidth="1"/>
    <col min="9" max="9" width="15.5" customWidth="1"/>
    <col min="10" max="10" width="19" bestFit="1" customWidth="1"/>
    <col min="11" max="11" width="15.25" bestFit="1" customWidth="1"/>
    <col min="12" max="12" width="14.25" bestFit="1" customWidth="1"/>
    <col min="13" max="13" width="15.5" customWidth="1"/>
    <col min="14" max="14" width="19.875" customWidth="1"/>
    <col min="15" max="15" width="13" bestFit="1" customWidth="1"/>
    <col min="16" max="16" width="14.125" bestFit="1" customWidth="1"/>
    <col min="17" max="17" width="13.25" bestFit="1" customWidth="1"/>
    <col min="18" max="18" width="14.25" bestFit="1" customWidth="1"/>
    <col min="19" max="19" width="8.25" customWidth="1"/>
    <col min="20" max="20" width="11.125" customWidth="1"/>
    <col min="21" max="21" width="18.625" customWidth="1"/>
    <col min="22" max="22" width="13.125" customWidth="1"/>
    <col min="24" max="24" width="17.875" customWidth="1"/>
  </cols>
  <sheetData>
    <row r="1" spans="1:24" ht="77.25">
      <c r="I1" s="941" t="s">
        <v>321</v>
      </c>
      <c r="J1" s="941"/>
      <c r="O1" t="s">
        <v>440</v>
      </c>
      <c r="Q1" s="571" t="s">
        <v>364</v>
      </c>
    </row>
    <row r="2" spans="1:24" ht="94.5">
      <c r="B2" s="825" t="s">
        <v>601</v>
      </c>
      <c r="C2" s="448" t="s">
        <v>364</v>
      </c>
      <c r="D2" s="470" t="s">
        <v>602</v>
      </c>
      <c r="E2" s="344"/>
      <c r="G2" s="46"/>
      <c r="H2" s="46">
        <v>2023</v>
      </c>
      <c r="I2" s="46">
        <v>2022</v>
      </c>
      <c r="J2" s="46">
        <v>2021</v>
      </c>
      <c r="K2" s="46">
        <v>2020</v>
      </c>
      <c r="L2" s="46" t="s">
        <v>322</v>
      </c>
      <c r="M2" s="46"/>
      <c r="O2" s="564" t="s">
        <v>278</v>
      </c>
      <c r="P2" s="565">
        <f>3654129+S8</f>
        <v>3654129</v>
      </c>
      <c r="Q2" s="566">
        <f>((+P2*300*0.8)/1000)</f>
        <v>876990.96</v>
      </c>
      <c r="V2" s="7"/>
      <c r="W2" s="7"/>
    </row>
    <row r="3" spans="1:24">
      <c r="A3" s="295" t="s">
        <v>278</v>
      </c>
      <c r="B3" s="331">
        <v>3692456.9520814079</v>
      </c>
      <c r="C3" s="823">
        <f>((+B3*300*0.8)/1000)</f>
        <v>886189.66849953798</v>
      </c>
      <c r="D3" s="824">
        <f>B3/2.9</f>
        <v>1273261.0179591062</v>
      </c>
      <c r="E3" s="13"/>
      <c r="F3" s="191">
        <f>+F7/K3</f>
        <v>4.2793394864804367E-3</v>
      </c>
      <c r="G3" s="358" t="s">
        <v>323</v>
      </c>
      <c r="H3" s="359">
        <v>1062476</v>
      </c>
      <c r="I3" s="359">
        <v>1055879</v>
      </c>
      <c r="J3" s="360">
        <v>1049567</v>
      </c>
      <c r="K3" s="361">
        <v>1043186</v>
      </c>
      <c r="L3" s="361">
        <v>331133</v>
      </c>
      <c r="M3" s="362">
        <f>+K3/L3</f>
        <v>3.1503534833435509</v>
      </c>
      <c r="O3" s="564" t="s">
        <v>279</v>
      </c>
      <c r="P3" s="565">
        <f>+P2+$S$8</f>
        <v>3654129</v>
      </c>
      <c r="Q3" s="566">
        <f>((+P3*300*0.8)/1000)</f>
        <v>876990.96</v>
      </c>
    </row>
    <row r="4" spans="1:24" ht="23.25">
      <c r="A4" s="295" t="s">
        <v>279</v>
      </c>
      <c r="B4" s="331">
        <v>3694916.9500508159</v>
      </c>
      <c r="C4" s="823">
        <f t="shared" ref="C4:C14" si="0">((+B4*300*0.8)/1000)</f>
        <v>886780.06801219587</v>
      </c>
      <c r="D4" s="824">
        <f t="shared" ref="D4:D14" si="1">B4/2.9</f>
        <v>1274109.2931209709</v>
      </c>
      <c r="E4" s="344"/>
      <c r="F4" s="191">
        <f>+E4/K4</f>
        <v>0</v>
      </c>
      <c r="G4" s="358" t="s">
        <v>324</v>
      </c>
      <c r="H4" s="359">
        <v>2871777.9863854237</v>
      </c>
      <c r="I4" s="359">
        <v>2824805.2218869007</v>
      </c>
      <c r="J4" s="360">
        <v>2955339</v>
      </c>
      <c r="K4" s="361">
        <v>2906003</v>
      </c>
      <c r="L4" s="361">
        <v>756183</v>
      </c>
      <c r="M4" s="362">
        <f>+K4/L4</f>
        <v>3.842989064816321</v>
      </c>
      <c r="O4" s="564" t="s">
        <v>280</v>
      </c>
      <c r="P4" s="565">
        <f t="shared" ref="P4:P13" si="2">+P3+$S$8</f>
        <v>3654129</v>
      </c>
      <c r="Q4" s="566">
        <f t="shared" ref="Q4:Q13" si="3">((+P4*300*0.8)/1000)</f>
        <v>876990.96</v>
      </c>
      <c r="S4" s="191"/>
      <c r="T4" s="344"/>
      <c r="U4" s="813"/>
      <c r="V4" s="813"/>
      <c r="W4" s="813"/>
      <c r="X4" s="14"/>
    </row>
    <row r="5" spans="1:24">
      <c r="A5" s="295" t="s">
        <v>280</v>
      </c>
      <c r="B5" s="331">
        <v>3697376.948020224</v>
      </c>
      <c r="C5" s="823">
        <f t="shared" si="0"/>
        <v>887370.46752485365</v>
      </c>
      <c r="D5" s="824">
        <f t="shared" si="1"/>
        <v>1274957.5682828359</v>
      </c>
      <c r="E5" s="344"/>
      <c r="F5" s="52">
        <f>AVERAGE(F3:F4)</f>
        <v>2.1396697432402184E-3</v>
      </c>
      <c r="G5" s="46" t="s">
        <v>325</v>
      </c>
      <c r="H5" s="359">
        <f>SUM(H3:H4)</f>
        <v>3934253.9863854237</v>
      </c>
      <c r="I5" s="359">
        <f>+I4+I3</f>
        <v>3880684.2218869007</v>
      </c>
      <c r="J5" s="363">
        <f>+SUM(J3:J4)-J6</f>
        <v>3828143.1466003302</v>
      </c>
      <c r="K5" s="363">
        <f>SUM(K3:K4)-K6</f>
        <v>3775377</v>
      </c>
      <c r="L5" s="363">
        <f>SUM(L3:L4)</f>
        <v>1087316</v>
      </c>
      <c r="M5" s="364">
        <f>+K5/L5</f>
        <v>3.4721985145072822</v>
      </c>
      <c r="O5" s="564" t="s">
        <v>281</v>
      </c>
      <c r="P5" s="565">
        <f t="shared" si="2"/>
        <v>3654129</v>
      </c>
      <c r="Q5" s="566">
        <f t="shared" si="3"/>
        <v>876990.96</v>
      </c>
      <c r="S5" s="191"/>
      <c r="T5" s="344"/>
      <c r="U5" s="813"/>
      <c r="V5" s="813"/>
      <c r="W5" s="813"/>
      <c r="X5" s="14"/>
    </row>
    <row r="6" spans="1:24">
      <c r="A6" s="295" t="s">
        <v>281</v>
      </c>
      <c r="B6" s="331">
        <v>3699836.945989632</v>
      </c>
      <c r="C6" s="823">
        <f t="shared" si="0"/>
        <v>887960.86703751166</v>
      </c>
      <c r="D6" s="824">
        <f t="shared" si="1"/>
        <v>1275805.8434447008</v>
      </c>
      <c r="E6" s="344"/>
      <c r="G6" s="46" t="s">
        <v>326</v>
      </c>
      <c r="H6" s="359">
        <v>182692.01361457646</v>
      </c>
      <c r="I6" s="359">
        <v>179703.77811309899</v>
      </c>
      <c r="J6" s="363">
        <v>176762.85339966958</v>
      </c>
      <c r="K6" s="360">
        <v>173812</v>
      </c>
      <c r="L6" s="360">
        <f>49975+22719</f>
        <v>72694</v>
      </c>
      <c r="M6" s="362">
        <f>+K6/L6</f>
        <v>2.3910088865656038</v>
      </c>
      <c r="O6" s="564" t="s">
        <v>282</v>
      </c>
      <c r="P6" s="565">
        <f>+P5+$S$8</f>
        <v>3654129</v>
      </c>
      <c r="Q6" s="566">
        <f t="shared" si="3"/>
        <v>876990.96</v>
      </c>
      <c r="S6" s="52"/>
      <c r="T6" s="815"/>
      <c r="U6" s="816"/>
      <c r="V6" s="816"/>
      <c r="W6" s="813"/>
      <c r="X6" s="817"/>
    </row>
    <row r="7" spans="1:24">
      <c r="A7" s="295" t="s">
        <v>282</v>
      </c>
      <c r="B7" s="331">
        <v>3702296.9439590401</v>
      </c>
      <c r="C7" s="823">
        <f t="shared" si="0"/>
        <v>888551.26655016956</v>
      </c>
      <c r="D7" s="824">
        <f t="shared" si="1"/>
        <v>1276654.1186065655</v>
      </c>
      <c r="E7" s="344"/>
      <c r="F7" s="365">
        <f>+(H5-I5)/12</f>
        <v>4464.1470415435806</v>
      </c>
      <c r="G7" s="46"/>
      <c r="H7" s="366">
        <f>+H5+H6</f>
        <v>4116946</v>
      </c>
      <c r="I7" s="366">
        <f>+I5+I6</f>
        <v>4060387.9999999995</v>
      </c>
      <c r="J7" s="366">
        <f>+J5+J6</f>
        <v>4004906</v>
      </c>
      <c r="K7" s="366">
        <f>+K5+K6</f>
        <v>3949189</v>
      </c>
      <c r="L7" s="366">
        <f>+L5-L6</f>
        <v>1014622</v>
      </c>
      <c r="M7" s="364">
        <f>+K7/L7</f>
        <v>3.8922761383056943</v>
      </c>
      <c r="O7" s="564" t="s">
        <v>283</v>
      </c>
      <c r="P7" s="565">
        <f>+P6+$S$8</f>
        <v>3654129</v>
      </c>
      <c r="Q7" s="566">
        <f t="shared" si="3"/>
        <v>876990.96</v>
      </c>
      <c r="U7" s="813"/>
      <c r="V7" s="813"/>
      <c r="W7" s="813"/>
      <c r="X7" s="191"/>
    </row>
    <row r="8" spans="1:24">
      <c r="A8" s="295" t="s">
        <v>283</v>
      </c>
      <c r="B8" s="331">
        <v>3704756.9419284482</v>
      </c>
      <c r="C8" s="823">
        <f t="shared" si="0"/>
        <v>889141.66606282757</v>
      </c>
      <c r="D8" s="824">
        <f t="shared" si="1"/>
        <v>1277502.3937684305</v>
      </c>
      <c r="E8" s="344"/>
      <c r="K8" s="367">
        <f>+I5*300*0.8</f>
        <v>931364213.25285625</v>
      </c>
      <c r="L8" s="822">
        <f>+J5/K8</f>
        <v>4.1102536388318654E-3</v>
      </c>
      <c r="O8" s="564" t="s">
        <v>284</v>
      </c>
      <c r="P8" s="565">
        <f t="shared" si="2"/>
        <v>3654129</v>
      </c>
      <c r="Q8" s="566">
        <f t="shared" si="3"/>
        <v>876990.96</v>
      </c>
      <c r="S8" s="365"/>
      <c r="T8" s="815"/>
      <c r="U8" s="818"/>
      <c r="V8" s="818"/>
      <c r="W8" s="819"/>
    </row>
    <row r="9" spans="1:24">
      <c r="A9" s="295" t="s">
        <v>284</v>
      </c>
      <c r="B9" s="331">
        <v>3707216.9398978562</v>
      </c>
      <c r="C9" s="823">
        <f t="shared" si="0"/>
        <v>889732.06557548547</v>
      </c>
      <c r="D9" s="824">
        <f t="shared" si="1"/>
        <v>1278350.6689302954</v>
      </c>
      <c r="E9" s="344"/>
      <c r="J9" s="191"/>
      <c r="K9" s="254">
        <f>+K8/1000</f>
        <v>931364.21325285628</v>
      </c>
      <c r="O9" s="564" t="s">
        <v>285</v>
      </c>
      <c r="P9" s="565">
        <f t="shared" si="2"/>
        <v>3654129</v>
      </c>
      <c r="Q9" s="566">
        <f t="shared" si="3"/>
        <v>876990.96</v>
      </c>
      <c r="U9" s="191"/>
    </row>
    <row r="10" spans="1:24">
      <c r="A10" s="295" t="s">
        <v>285</v>
      </c>
      <c r="B10" s="331">
        <v>3709676.9378672643</v>
      </c>
      <c r="C10" s="823">
        <f t="shared" si="0"/>
        <v>890322.46508814336</v>
      </c>
      <c r="D10" s="824">
        <f t="shared" si="1"/>
        <v>1279198.9440921601</v>
      </c>
      <c r="E10" s="191"/>
      <c r="F10" s="65"/>
      <c r="I10" s="52"/>
      <c r="O10" s="564" t="s">
        <v>286</v>
      </c>
      <c r="P10" s="565">
        <f t="shared" si="2"/>
        <v>3654129</v>
      </c>
      <c r="Q10" s="566">
        <f t="shared" si="3"/>
        <v>876990.96</v>
      </c>
      <c r="U10" s="191"/>
      <c r="X10" s="570"/>
    </row>
    <row r="11" spans="1:24">
      <c r="A11" s="295" t="s">
        <v>286</v>
      </c>
      <c r="B11" s="331">
        <v>3712136.9358366723</v>
      </c>
      <c r="C11" s="823">
        <f t="shared" si="0"/>
        <v>890912.86460080137</v>
      </c>
      <c r="D11" s="824">
        <f t="shared" si="1"/>
        <v>1280047.219254025</v>
      </c>
      <c r="F11" s="65"/>
      <c r="O11" s="564" t="s">
        <v>287</v>
      </c>
      <c r="P11" s="565">
        <f t="shared" si="2"/>
        <v>3654129</v>
      </c>
      <c r="Q11" s="566">
        <f t="shared" si="3"/>
        <v>876990.96</v>
      </c>
    </row>
    <row r="12" spans="1:24">
      <c r="A12" s="295" t="s">
        <v>287</v>
      </c>
      <c r="B12" s="331">
        <v>3714596.9338060804</v>
      </c>
      <c r="C12" s="823">
        <f t="shared" si="0"/>
        <v>891503.26411345927</v>
      </c>
      <c r="D12" s="824">
        <f t="shared" si="1"/>
        <v>1280895.4944158897</v>
      </c>
      <c r="F12" s="65"/>
      <c r="O12" s="564" t="s">
        <v>288</v>
      </c>
      <c r="P12" s="565">
        <f t="shared" si="2"/>
        <v>3654129</v>
      </c>
      <c r="Q12" s="566">
        <f t="shared" si="3"/>
        <v>876990.96</v>
      </c>
    </row>
    <row r="13" spans="1:24">
      <c r="A13" s="295" t="s">
        <v>288</v>
      </c>
      <c r="B13" s="331">
        <v>3717056.9317754884</v>
      </c>
      <c r="C13" s="823">
        <f t="shared" si="0"/>
        <v>892093.66362611728</v>
      </c>
      <c r="D13" s="824">
        <f t="shared" si="1"/>
        <v>1281743.7695777547</v>
      </c>
      <c r="F13" s="65"/>
      <c r="G13" s="78"/>
      <c r="L13" s="23"/>
      <c r="O13" s="564" t="s">
        <v>289</v>
      </c>
      <c r="P13" s="565">
        <f t="shared" si="2"/>
        <v>3654129</v>
      </c>
      <c r="Q13" s="566">
        <f t="shared" si="3"/>
        <v>876990.96</v>
      </c>
    </row>
    <row r="14" spans="1:24">
      <c r="A14" s="295" t="s">
        <v>289</v>
      </c>
      <c r="B14" s="331">
        <v>3719516.9297448965</v>
      </c>
      <c r="C14" s="823">
        <f t="shared" si="0"/>
        <v>892684.06313877506</v>
      </c>
      <c r="D14" s="824">
        <f t="shared" si="1"/>
        <v>1282592.0447396196</v>
      </c>
    </row>
    <row r="16" spans="1:24" ht="47.25" customHeight="1">
      <c r="A16" s="2" t="s">
        <v>432</v>
      </c>
      <c r="B16" s="52">
        <f>+B3*0.953</f>
        <v>3518911.4753335817</v>
      </c>
    </row>
    <row r="17" spans="2:22">
      <c r="B17" s="52"/>
      <c r="G17" s="869"/>
      <c r="H17" s="869"/>
      <c r="I17" s="869"/>
      <c r="L17" s="820"/>
      <c r="N17" s="814"/>
    </row>
    <row r="18" spans="2:22">
      <c r="B18" s="821"/>
      <c r="G18" s="869"/>
      <c r="H18" s="869"/>
      <c r="I18" s="7"/>
      <c r="L18" s="820"/>
      <c r="N18" s="814"/>
    </row>
    <row r="19" spans="2:22">
      <c r="H19" s="23"/>
      <c r="I19" s="191"/>
      <c r="J19" s="23"/>
      <c r="K19" s="813"/>
      <c r="L19" s="373"/>
      <c r="N19" s="814"/>
    </row>
    <row r="20" spans="2:22">
      <c r="K20" s="813"/>
      <c r="L20" s="373"/>
      <c r="N20" s="814"/>
    </row>
    <row r="21" spans="2:22">
      <c r="L21" s="23"/>
      <c r="N21" s="814"/>
    </row>
    <row r="22" spans="2:22">
      <c r="M22" s="942"/>
      <c r="N22" s="942"/>
    </row>
    <row r="26" spans="2:22">
      <c r="G26" s="277"/>
      <c r="H26" s="277"/>
      <c r="I26" s="277"/>
      <c r="J26" s="277"/>
      <c r="K26" s="277"/>
    </row>
    <row r="27" spans="2:22">
      <c r="G27" s="374"/>
      <c r="H27" s="374"/>
      <c r="I27" s="374"/>
      <c r="J27" s="374"/>
      <c r="K27" s="374"/>
    </row>
    <row r="28" spans="2:22">
      <c r="F28" s="277"/>
      <c r="G28" s="277"/>
      <c r="H28" s="277"/>
      <c r="I28" s="277"/>
      <c r="J28" s="277"/>
      <c r="K28" s="277"/>
      <c r="L28" s="277"/>
    </row>
    <row r="29" spans="2:22">
      <c r="G29" s="594">
        <f>+F38*31</f>
        <v>0</v>
      </c>
      <c r="H29" s="594">
        <f>+G38*29</f>
        <v>14669448.624</v>
      </c>
      <c r="I29" s="594">
        <f t="shared" ref="I29" si="4">+H38*31</f>
        <v>16265499.120000001</v>
      </c>
      <c r="J29" s="52">
        <f>SUM(G29:I29)</f>
        <v>30934947.744000003</v>
      </c>
      <c r="K29" s="52"/>
      <c r="L29" s="52"/>
      <c r="M29" s="52"/>
      <c r="N29" s="52"/>
      <c r="O29" s="52"/>
      <c r="V29" s="375"/>
    </row>
    <row r="30" spans="2:22">
      <c r="C30" s="332"/>
      <c r="D30" s="295" t="s">
        <v>334</v>
      </c>
      <c r="E30" s="295"/>
      <c r="F30" s="295"/>
      <c r="G30" s="295"/>
      <c r="H30" s="295"/>
      <c r="I30" s="295"/>
      <c r="J30" s="295"/>
      <c r="K30" s="295"/>
      <c r="L30" s="295"/>
      <c r="M30" s="295"/>
      <c r="N30" s="328"/>
      <c r="O30" s="295"/>
      <c r="P30" s="295"/>
      <c r="Q30" s="295"/>
      <c r="R30" s="295"/>
      <c r="V30" s="376" t="s">
        <v>335</v>
      </c>
    </row>
    <row r="31" spans="2:22">
      <c r="C31" s="943" t="s">
        <v>336</v>
      </c>
      <c r="D31" s="943"/>
      <c r="E31" s="329" t="s">
        <v>337</v>
      </c>
      <c r="F31" s="328" t="s">
        <v>117</v>
      </c>
      <c r="G31" s="328" t="s">
        <v>118</v>
      </c>
      <c r="H31" s="328" t="s">
        <v>119</v>
      </c>
      <c r="I31" s="328" t="s">
        <v>120</v>
      </c>
      <c r="J31" s="328" t="s">
        <v>121</v>
      </c>
      <c r="K31" s="328" t="s">
        <v>122</v>
      </c>
      <c r="L31" s="328" t="s">
        <v>123</v>
      </c>
      <c r="M31" s="328" t="s">
        <v>124</v>
      </c>
      <c r="N31" s="328" t="s">
        <v>125</v>
      </c>
      <c r="O31" s="328" t="s">
        <v>126</v>
      </c>
      <c r="P31" s="328" t="s">
        <v>127</v>
      </c>
      <c r="Q31" s="328" t="s">
        <v>128</v>
      </c>
      <c r="R31" s="377" t="s">
        <v>338</v>
      </c>
      <c r="V31" s="378"/>
    </row>
    <row r="32" spans="2:22">
      <c r="C32" s="332" t="s">
        <v>339</v>
      </c>
      <c r="D32" s="332" t="s">
        <v>340</v>
      </c>
      <c r="E32" s="332" t="s">
        <v>341</v>
      </c>
      <c r="F32" s="254">
        <f>+D3</f>
        <v>1273261.0179591062</v>
      </c>
      <c r="G32" s="254">
        <f>D4</f>
        <v>1274109.2931209709</v>
      </c>
      <c r="H32" s="254">
        <f>D5</f>
        <v>1274957.5682828359</v>
      </c>
      <c r="I32" s="254">
        <f>D6</f>
        <v>1275805.8434447008</v>
      </c>
      <c r="J32" s="254">
        <f>+D7</f>
        <v>1276654.1186065655</v>
      </c>
      <c r="K32" s="254">
        <f>+D8</f>
        <v>1277502.3937684305</v>
      </c>
      <c r="L32" s="254">
        <f>+D9</f>
        <v>1278350.6689302954</v>
      </c>
      <c r="M32" s="254">
        <f>+D10</f>
        <v>1279198.9440921601</v>
      </c>
      <c r="N32" s="254">
        <f>+D11</f>
        <v>1280047.219254025</v>
      </c>
      <c r="O32" s="254">
        <f>+D12</f>
        <v>1280895.4944158897</v>
      </c>
      <c r="P32" s="254">
        <f>+D13</f>
        <v>1281743.7695777547</v>
      </c>
      <c r="Q32" s="254">
        <f>+D14</f>
        <v>1282592.0447396196</v>
      </c>
      <c r="R32" s="63">
        <f>AVERAGE(F32:Q32)</f>
        <v>1277926.5313493628</v>
      </c>
      <c r="V32" s="379"/>
    </row>
    <row r="33" spans="1:22" ht="23.25">
      <c r="C33" s="332" t="s">
        <v>342</v>
      </c>
      <c r="D33" s="332" t="s">
        <v>343</v>
      </c>
      <c r="E33" s="332" t="s">
        <v>344</v>
      </c>
      <c r="F33" s="330">
        <f>+'Clientes alcantarillado 23-25'!N6</f>
        <v>0</v>
      </c>
      <c r="G33" s="330">
        <f>+'Clientes alcantarillado 23-25'!N7</f>
        <v>363393</v>
      </c>
      <c r="H33" s="330">
        <f>+'Clientes alcantarillado 23-25'!N8</f>
        <v>376935</v>
      </c>
      <c r="I33" s="330">
        <f>+'Clientes alcantarillado 23-25'!N9</f>
        <v>211944</v>
      </c>
      <c r="J33" s="330">
        <f>+'Clientes alcantarillado 23-25'!N10</f>
        <v>213916</v>
      </c>
      <c r="K33" s="330">
        <f>+'Clientes alcantarillado 23-25'!N11</f>
        <v>212600</v>
      </c>
      <c r="L33" s="330">
        <f>+'Clientes alcantarillado 23-25'!N12</f>
        <v>0</v>
      </c>
      <c r="M33" s="330">
        <f>+'Clientes alcantarillado 23-25'!N13</f>
        <v>0</v>
      </c>
      <c r="N33" s="330">
        <f>+'Clientes alcantarillado 23-25'!N14</f>
        <v>0</v>
      </c>
      <c r="O33" s="330">
        <f>+'Clientes alcantarillado 23-25'!N15</f>
        <v>0</v>
      </c>
      <c r="P33" s="330">
        <f>+'Clientes alcantarillado 23-25'!N16</f>
        <v>0</v>
      </c>
      <c r="Q33" s="330">
        <f>+'Clientes alcantarillado 23-25'!N17</f>
        <v>0</v>
      </c>
      <c r="R33" s="335">
        <f>AVERAGE(F33:Q33)</f>
        <v>114899</v>
      </c>
      <c r="S33" s="277">
        <v>0.46990644623377742</v>
      </c>
      <c r="T33" s="380">
        <f>+P33+150</f>
        <v>150</v>
      </c>
      <c r="V33" s="379"/>
    </row>
    <row r="34" spans="1:22">
      <c r="B34" s="108"/>
      <c r="C34" s="332" t="s">
        <v>345</v>
      </c>
      <c r="D34" s="332" t="s">
        <v>346</v>
      </c>
      <c r="E34" s="332" t="s">
        <v>341</v>
      </c>
      <c r="F34" s="330">
        <f>+'UNIDADES ALCANTARILLADO 23-25'!P18</f>
        <v>0</v>
      </c>
      <c r="G34" s="330">
        <f>+'UNIDADES ALCANTARILLADO 23-25'!P19</f>
        <v>726786</v>
      </c>
      <c r="H34" s="593">
        <f>+'UNIDADES ALCANTARILLADO 23-25'!P20</f>
        <v>753870</v>
      </c>
      <c r="I34" s="330">
        <f>+'UNIDADES ALCANTARILLADO 23-25'!P21</f>
        <v>423888</v>
      </c>
      <c r="J34" s="330">
        <f>+'UNIDADES ALCANTARILLADO 23-25'!P22</f>
        <v>427832</v>
      </c>
      <c r="K34" s="330">
        <f>+'UNIDADES ALCANTARILLADO 23-25'!P23</f>
        <v>425200</v>
      </c>
      <c r="L34" s="330">
        <f>+'UNIDADES ALCANTARILLADO 23-25'!P24</f>
        <v>0</v>
      </c>
      <c r="M34" s="330">
        <f>+'UNIDADES ALCANTARILLADO 23-25'!P25</f>
        <v>0</v>
      </c>
      <c r="N34" s="330">
        <f>+'UNIDADES ALCANTARILLADO 23-25'!P26</f>
        <v>0</v>
      </c>
      <c r="O34" s="330">
        <f>+'UNIDADES ALCANTARILLADO 23-25'!P27</f>
        <v>0</v>
      </c>
      <c r="P34" s="330">
        <f>+'UNIDADES ALCANTARILLADO 23-25'!P28</f>
        <v>0</v>
      </c>
      <c r="Q34" s="330">
        <f>+'UNIDADES ALCANTARILLADO 23-25'!P29</f>
        <v>0</v>
      </c>
      <c r="R34" s="335">
        <f>AVERAGE(F34:Q34)</f>
        <v>229798</v>
      </c>
      <c r="S34" s="277">
        <v>0.53026960878707818</v>
      </c>
      <c r="T34" s="380">
        <f>+P34+150</f>
        <v>150</v>
      </c>
      <c r="U34" s="381"/>
      <c r="V34" s="382"/>
    </row>
    <row r="35" spans="1:22" ht="23.25">
      <c r="B35" s="108"/>
      <c r="C35" s="332" t="s">
        <v>444</v>
      </c>
      <c r="D35" s="332" t="s">
        <v>611</v>
      </c>
      <c r="E35" s="332" t="s">
        <v>348</v>
      </c>
      <c r="F35" s="330">
        <f t="shared" ref="F35:L35" si="5">+F34*2.9</f>
        <v>0</v>
      </c>
      <c r="G35" s="330">
        <f t="shared" si="5"/>
        <v>2107679.4</v>
      </c>
      <c r="H35" s="330">
        <f t="shared" si="5"/>
        <v>2186223</v>
      </c>
      <c r="I35" s="633">
        <f t="shared" si="5"/>
        <v>1229275.2</v>
      </c>
      <c r="J35" s="633">
        <f t="shared" si="5"/>
        <v>1240712.8</v>
      </c>
      <c r="K35" s="330">
        <f t="shared" si="5"/>
        <v>1233080</v>
      </c>
      <c r="L35" s="330">
        <f t="shared" si="5"/>
        <v>0</v>
      </c>
      <c r="M35" s="330">
        <f t="shared" ref="M35:Q35" si="6">+M34*3</f>
        <v>0</v>
      </c>
      <c r="N35" s="384">
        <f t="shared" si="6"/>
        <v>0</v>
      </c>
      <c r="O35" s="330">
        <f t="shared" si="6"/>
        <v>0</v>
      </c>
      <c r="P35" s="330">
        <f t="shared" si="6"/>
        <v>0</v>
      </c>
      <c r="Q35" s="330">
        <f t="shared" si="6"/>
        <v>0</v>
      </c>
      <c r="R35" s="383">
        <f>+R34*3.07</f>
        <v>705479.86</v>
      </c>
      <c r="S35" s="277">
        <v>0.55047118778096715</v>
      </c>
      <c r="T35" s="380">
        <f>+T34*3.08</f>
        <v>462</v>
      </c>
      <c r="U35" s="108"/>
      <c r="V35" s="385">
        <f>AVERAGE(N35:P35)</f>
        <v>0</v>
      </c>
    </row>
    <row r="36" spans="1:22">
      <c r="B36" s="108"/>
      <c r="C36" s="332" t="s">
        <v>349</v>
      </c>
      <c r="D36" s="332" t="s">
        <v>445</v>
      </c>
      <c r="E36" s="332" t="s">
        <v>348</v>
      </c>
      <c r="F36" s="330">
        <f>+B3</f>
        <v>3692456.9520814079</v>
      </c>
      <c r="G36" s="330">
        <f>+B4</f>
        <v>3694916.9500508159</v>
      </c>
      <c r="H36" s="330">
        <f>+B5</f>
        <v>3697376.948020224</v>
      </c>
      <c r="I36" s="330">
        <f>+B6</f>
        <v>3699836.945989632</v>
      </c>
      <c r="J36" s="330">
        <f>+B7</f>
        <v>3702296.9439590401</v>
      </c>
      <c r="K36" s="330">
        <f>+B8</f>
        <v>3704756.9419284482</v>
      </c>
      <c r="L36" s="330">
        <f>+B9</f>
        <v>3707216.9398978562</v>
      </c>
      <c r="M36" s="330">
        <f>+B10</f>
        <v>3709676.9378672643</v>
      </c>
      <c r="N36" s="330">
        <f>+B11</f>
        <v>3712136.9358366723</v>
      </c>
      <c r="O36" s="330">
        <f>+B12</f>
        <v>3714596.9338060804</v>
      </c>
      <c r="P36" s="330">
        <f>+B13</f>
        <v>3717056.9317754884</v>
      </c>
      <c r="Q36" s="330">
        <f>+B14</f>
        <v>3719516.9297448965</v>
      </c>
      <c r="R36" s="383">
        <f>+Q36</f>
        <v>3719516.9297448965</v>
      </c>
      <c r="S36" s="381"/>
      <c r="T36" s="386">
        <f>+V36</f>
        <v>3357260.55</v>
      </c>
      <c r="U36" s="108"/>
      <c r="V36" s="387">
        <v>3357260.55</v>
      </c>
    </row>
    <row r="37" spans="1:22" ht="23.25">
      <c r="C37" s="332" t="s">
        <v>350</v>
      </c>
      <c r="D37" s="332" t="s">
        <v>351</v>
      </c>
      <c r="E37" s="332" t="s">
        <v>352</v>
      </c>
      <c r="F37" s="388">
        <f>+F35/F36</f>
        <v>0</v>
      </c>
      <c r="G37" s="388">
        <f t="shared" ref="G37:Q37" si="7">+G35/G36</f>
        <v>0.57042673177566638</v>
      </c>
      <c r="H37" s="388">
        <f t="shared" si="7"/>
        <v>0.59129026624418757</v>
      </c>
      <c r="I37" s="388">
        <f t="shared" si="7"/>
        <v>0.33225118240209189</v>
      </c>
      <c r="J37" s="388">
        <f>+J35/J36</f>
        <v>0.33511974290026764</v>
      </c>
      <c r="K37" s="388">
        <f>+K35/K36</f>
        <v>0.33283694971852623</v>
      </c>
      <c r="L37" s="388">
        <f t="shared" si="7"/>
        <v>0</v>
      </c>
      <c r="M37" s="388">
        <f t="shared" si="7"/>
        <v>0</v>
      </c>
      <c r="N37" s="388">
        <f t="shared" si="7"/>
        <v>0</v>
      </c>
      <c r="O37" s="388">
        <f t="shared" si="7"/>
        <v>0</v>
      </c>
      <c r="P37" s="798">
        <f t="shared" si="7"/>
        <v>0</v>
      </c>
      <c r="Q37" s="388">
        <f t="shared" si="7"/>
        <v>0</v>
      </c>
      <c r="R37" s="337">
        <f>+R35/R36</f>
        <v>0.18966975371406239</v>
      </c>
      <c r="S37" s="315">
        <f>+R37-15.91%</f>
        <v>3.0569753714062398E-2</v>
      </c>
      <c r="T37" s="337">
        <f>+R35/T36</f>
        <v>0.21013557020470158</v>
      </c>
      <c r="U37" s="355"/>
      <c r="V37" s="389">
        <f>+V35/V36</f>
        <v>0</v>
      </c>
    </row>
    <row r="38" spans="1:22" ht="34.5">
      <c r="C38" s="586" t="s">
        <v>353</v>
      </c>
      <c r="D38" s="586" t="s">
        <v>354</v>
      </c>
      <c r="E38" s="586" t="s">
        <v>311</v>
      </c>
      <c r="F38" s="521">
        <f>+(F35*300*0.8)/1000</f>
        <v>0</v>
      </c>
      <c r="G38" s="521">
        <f>+(G35*300*0.8)/1000</f>
        <v>505843.05599999998</v>
      </c>
      <c r="H38" s="521">
        <f t="shared" ref="H38:Q38" si="8">+(H35*300*0.8)/1000</f>
        <v>524693.52</v>
      </c>
      <c r="I38" s="521">
        <f t="shared" si="8"/>
        <v>295026.04800000001</v>
      </c>
      <c r="J38" s="521">
        <f t="shared" si="8"/>
        <v>297771.07199999999</v>
      </c>
      <c r="K38" s="521">
        <f>+(K35*300*0.8)/1000</f>
        <v>295939.20000000001</v>
      </c>
      <c r="L38" s="521">
        <f t="shared" si="8"/>
        <v>0</v>
      </c>
      <c r="M38" s="521">
        <f t="shared" si="8"/>
        <v>0</v>
      </c>
      <c r="N38" s="521">
        <f>+(N35*300*0.8)/1000</f>
        <v>0</v>
      </c>
      <c r="O38" s="521">
        <f>+(O35*300*0.8)/1000</f>
        <v>0</v>
      </c>
      <c r="P38" s="521">
        <f>+(P35*300*0.8)/1000</f>
        <v>0</v>
      </c>
      <c r="Q38" s="521">
        <f t="shared" si="8"/>
        <v>0</v>
      </c>
      <c r="R38" s="587">
        <f>AVERAGE(F38:Q38)</f>
        <v>159939.408</v>
      </c>
      <c r="T38" s="52"/>
      <c r="V38" s="391">
        <f>+(V35*300*0.8)/1000</f>
        <v>0</v>
      </c>
    </row>
    <row r="39" spans="1:22" ht="23.25">
      <c r="C39" s="332" t="s">
        <v>355</v>
      </c>
      <c r="D39" s="332" t="s">
        <v>356</v>
      </c>
      <c r="E39" s="332" t="s">
        <v>311</v>
      </c>
      <c r="F39" s="254">
        <f>+'Aguas Residuales Domésticas Rec'!U12</f>
        <v>1376596.8719452589</v>
      </c>
      <c r="G39" s="254">
        <f>+'Aguas Residuales Domésticas Rec'!U13</f>
        <v>1383426.7316017316</v>
      </c>
      <c r="H39" s="254">
        <f>+'Aguas Residuales Domésticas Rec'!U14</f>
        <v>1332877.8103616817</v>
      </c>
      <c r="I39" s="254">
        <f>+'Aguas Residuales Domésticas Rec'!U15</f>
        <v>1321863.9393939395</v>
      </c>
      <c r="J39" s="254">
        <f>+'Aguas Residuales Domésticas Rec'!U16</f>
        <v>1294247.7028347997</v>
      </c>
      <c r="K39" s="254">
        <f>+'Aguas Residuales Domésticas Rec'!U17</f>
        <v>1342757.3737373739</v>
      </c>
      <c r="L39" s="254">
        <f>+'Aguas Residuales Domésticas Rec'!U18</f>
        <v>0</v>
      </c>
      <c r="M39" s="254">
        <f>+'Aguas Residuales Domésticas Rec'!U19</f>
        <v>0</v>
      </c>
      <c r="N39" s="254">
        <f>+'Aguas Residuales Domésticas Rec'!U23</f>
        <v>0</v>
      </c>
      <c r="O39" s="254">
        <f>+'Aguas Residuales Domésticas Rec'!U24</f>
        <v>0</v>
      </c>
      <c r="P39" s="254">
        <f>+'Aguas Residuales Domésticas Rec'!U25</f>
        <v>0</v>
      </c>
      <c r="Q39" s="254">
        <f>+'Aguas Residuales Domésticas Rec'!U26</f>
        <v>0</v>
      </c>
      <c r="R39" s="295"/>
      <c r="V39" s="391">
        <f>(17.92*86400)*0.8</f>
        <v>1238630.4000000001</v>
      </c>
    </row>
    <row r="40" spans="1:22" ht="23.25">
      <c r="C40" s="332" t="s">
        <v>357</v>
      </c>
      <c r="D40" s="332" t="s">
        <v>358</v>
      </c>
      <c r="E40" s="332" t="s">
        <v>352</v>
      </c>
      <c r="F40" s="69">
        <f>+F38/F39</f>
        <v>0</v>
      </c>
      <c r="G40" s="337">
        <f>+G38/G39</f>
        <v>0.36564499184885263</v>
      </c>
      <c r="H40" s="337">
        <f t="shared" ref="H40:Q40" si="9">+H38/H39</f>
        <v>0.39365462904482018</v>
      </c>
      <c r="I40" s="337">
        <f t="shared" si="9"/>
        <v>0.2231894215491394</v>
      </c>
      <c r="J40" s="337">
        <f>+J38/J39</f>
        <v>0.23007270659842777</v>
      </c>
      <c r="K40" s="337">
        <f>+K38/K39</f>
        <v>0.22039662994089201</v>
      </c>
      <c r="L40" s="337" t="e">
        <f t="shared" si="9"/>
        <v>#DIV/0!</v>
      </c>
      <c r="M40" s="337" t="e">
        <f t="shared" si="9"/>
        <v>#DIV/0!</v>
      </c>
      <c r="N40" s="337" t="e">
        <f t="shared" si="9"/>
        <v>#DIV/0!</v>
      </c>
      <c r="O40" s="337" t="e">
        <f>+O38/O39</f>
        <v>#DIV/0!</v>
      </c>
      <c r="P40" s="337" t="e">
        <f>+P38/P39</f>
        <v>#DIV/0!</v>
      </c>
      <c r="Q40" s="337" t="e">
        <f t="shared" si="9"/>
        <v>#DIV/0!</v>
      </c>
      <c r="R40" s="295"/>
      <c r="V40" s="389">
        <f>+V38/V39</f>
        <v>0</v>
      </c>
    </row>
    <row r="41" spans="1:22">
      <c r="C41" s="332" t="s">
        <v>359</v>
      </c>
      <c r="D41" s="332" t="s">
        <v>360</v>
      </c>
      <c r="E41" s="332" t="s">
        <v>311</v>
      </c>
      <c r="F41" s="254">
        <f>+'Aguas Residuales Domésticas Rec'!$B$19</f>
        <v>88006.91</v>
      </c>
      <c r="G41" s="254">
        <f>+'Aguas Residuales Domésticas Rec'!$B$19</f>
        <v>88006.91</v>
      </c>
      <c r="H41" s="254">
        <f>+'Aguas Residuales Domésticas Rec'!$B$19</f>
        <v>88006.91</v>
      </c>
      <c r="I41" s="254">
        <f>+'Aguas Residuales Domésticas Rec'!$B$19</f>
        <v>88006.91</v>
      </c>
      <c r="J41" s="254">
        <f>+'Aguas Residuales Domésticas Rec'!$B$19</f>
        <v>88006.91</v>
      </c>
      <c r="K41" s="254">
        <f>+'Aguas Residuales Domésticas Rec'!$B$19</f>
        <v>88006.91</v>
      </c>
      <c r="L41" s="254">
        <f>+'Aguas Residuales Domésticas Rec'!$B$19</f>
        <v>88006.91</v>
      </c>
      <c r="M41" s="254">
        <f>+'Aguas Residuales Domésticas Rec'!$B$19</f>
        <v>88006.91</v>
      </c>
      <c r="N41" s="254">
        <f>+'Aguas Residuales Domésticas Rec'!$B$19</f>
        <v>88006.91</v>
      </c>
      <c r="O41" s="254">
        <f>+'Aguas Residuales Domésticas Rec'!$B$19</f>
        <v>88006.91</v>
      </c>
      <c r="P41" s="254">
        <f>+'Aguas Residuales Domésticas Rec'!$B$19</f>
        <v>88006.91</v>
      </c>
      <c r="Q41" s="254">
        <f>+'Aguas Residuales Domésticas Rec'!$B$19</f>
        <v>88006.91</v>
      </c>
      <c r="R41" s="63">
        <v>59089.83</v>
      </c>
      <c r="S41" s="52"/>
      <c r="U41" s="392">
        <f>+R41+22334</f>
        <v>81423.83</v>
      </c>
      <c r="V41" s="391">
        <f>+P41+22334</f>
        <v>110340.91</v>
      </c>
    </row>
    <row r="42" spans="1:22">
      <c r="C42" s="332" t="s">
        <v>361</v>
      </c>
      <c r="D42" s="332" t="s">
        <v>362</v>
      </c>
      <c r="E42" s="332" t="s">
        <v>352</v>
      </c>
      <c r="F42" s="393">
        <f>+F41/F39</f>
        <v>6.3930778714932052E-2</v>
      </c>
      <c r="G42" s="393">
        <f t="shared" ref="G42:M42" si="10">+G41/G39</f>
        <v>6.3615157918848073E-2</v>
      </c>
      <c r="H42" s="393">
        <f>+H41/H39</f>
        <v>6.6027740364376669E-2</v>
      </c>
      <c r="I42" s="393">
        <f t="shared" si="10"/>
        <v>6.657788852334548E-2</v>
      </c>
      <c r="J42" s="393">
        <f>+J41/J39</f>
        <v>6.7998505855747599E-2</v>
      </c>
      <c r="K42" s="393">
        <f t="shared" si="10"/>
        <v>6.5541930151569602E-2</v>
      </c>
      <c r="L42" s="393" t="e">
        <f t="shared" si="10"/>
        <v>#DIV/0!</v>
      </c>
      <c r="M42" s="393" t="e">
        <f t="shared" si="10"/>
        <v>#DIV/0!</v>
      </c>
      <c r="N42" s="393" t="e">
        <f>+N41/N39</f>
        <v>#DIV/0!</v>
      </c>
      <c r="O42" s="393" t="e">
        <f>+O41/O39</f>
        <v>#DIV/0!</v>
      </c>
      <c r="P42" s="393" t="e">
        <f>+P41/P39</f>
        <v>#DIV/0!</v>
      </c>
      <c r="Q42" s="393" t="e">
        <f>+Q41/Q39</f>
        <v>#DIV/0!</v>
      </c>
      <c r="R42" s="295"/>
      <c r="T42" s="273">
        <f>+Q36*1.0245</f>
        <v>3810645.0945236464</v>
      </c>
      <c r="U42" s="59">
        <f>+U41/R41-1</f>
        <v>0.37796690225712282</v>
      </c>
      <c r="V42" s="391"/>
    </row>
    <row r="43" spans="1:22" s="747" customFormat="1" ht="23.25">
      <c r="C43" s="745" t="s">
        <v>363</v>
      </c>
      <c r="D43" s="745" t="s">
        <v>364</v>
      </c>
      <c r="E43" s="745" t="s">
        <v>311</v>
      </c>
      <c r="F43" s="748">
        <f>+(F$36*300*0.8)/1000</f>
        <v>886189.66849953798</v>
      </c>
      <c r="G43" s="748">
        <f t="shared" ref="G43:Q43" si="11">+(G$36*300*0.8)/1000</f>
        <v>886780.06801219587</v>
      </c>
      <c r="H43" s="748">
        <f>+(H$36*300*0.8)/1000</f>
        <v>887370.46752485365</v>
      </c>
      <c r="I43" s="748">
        <f>+(I$36*300*0.8)/1000</f>
        <v>887960.86703751166</v>
      </c>
      <c r="J43" s="748">
        <f>+(J$36*300*0.8)/1000</f>
        <v>888551.26655016956</v>
      </c>
      <c r="K43" s="748">
        <f>+(K$36*300*0.8)/1000</f>
        <v>889141.66606282757</v>
      </c>
      <c r="L43" s="748">
        <f t="shared" si="11"/>
        <v>889732.06557548547</v>
      </c>
      <c r="M43" s="748">
        <f t="shared" si="11"/>
        <v>890322.46508814336</v>
      </c>
      <c r="N43" s="748">
        <f>+(N$36*300*0.8)/1000</f>
        <v>890912.86460080137</v>
      </c>
      <c r="O43" s="748">
        <f t="shared" si="11"/>
        <v>891503.26411345927</v>
      </c>
      <c r="P43" s="748">
        <f>+(P$36*300*0.8)/1000</f>
        <v>892093.66362611728</v>
      </c>
      <c r="Q43" s="748">
        <f t="shared" si="11"/>
        <v>892684.06313877506</v>
      </c>
      <c r="R43" s="749">
        <f>AVERAGE(F43:Q43)</f>
        <v>889436.86581915652</v>
      </c>
      <c r="S43" s="750">
        <f>+R41/R43</f>
        <v>6.6435103233076873E-2</v>
      </c>
      <c r="T43" s="746">
        <f>+(T$42*300*0.8)/1000</f>
        <v>914554.82268567511</v>
      </c>
      <c r="U43" s="750">
        <f>+U41/T43</f>
        <v>8.9031108885185659E-2</v>
      </c>
      <c r="V43" s="751">
        <f>+(V$36*300*0.8)/1000</f>
        <v>805742.53200000001</v>
      </c>
    </row>
    <row r="44" spans="1:22">
      <c r="C44" s="332" t="s">
        <v>365</v>
      </c>
      <c r="D44" s="390" t="s">
        <v>366</v>
      </c>
      <c r="E44" s="395"/>
      <c r="F44" s="393">
        <f>+F38/F43</f>
        <v>0</v>
      </c>
      <c r="G44" s="393">
        <f>+G38/G43</f>
        <v>0.57042673177566627</v>
      </c>
      <c r="H44" s="393">
        <f t="shared" ref="H44:O44" si="12">+H38/H43</f>
        <v>0.59129026624418768</v>
      </c>
      <c r="I44" s="396">
        <f t="shared" si="12"/>
        <v>0.33225118240209195</v>
      </c>
      <c r="J44" s="396">
        <f>+J38/J43</f>
        <v>0.33511974290026764</v>
      </c>
      <c r="K44" s="396">
        <f>+K38/K43</f>
        <v>0.33283694971852629</v>
      </c>
      <c r="L44" s="396">
        <f>+L38/L43</f>
        <v>0</v>
      </c>
      <c r="M44" s="393">
        <f t="shared" si="12"/>
        <v>0</v>
      </c>
      <c r="N44" s="393">
        <f>+N38/N43</f>
        <v>0</v>
      </c>
      <c r="O44" s="397">
        <f t="shared" si="12"/>
        <v>0</v>
      </c>
      <c r="P44" s="397">
        <f>+P38/P43</f>
        <v>0</v>
      </c>
      <c r="Q44" s="393">
        <f>+Q38/Q43</f>
        <v>0</v>
      </c>
      <c r="R44" s="295"/>
      <c r="V44" s="398"/>
    </row>
    <row r="45" spans="1:22">
      <c r="C45" s="332"/>
      <c r="D45" s="332" t="s">
        <v>367</v>
      </c>
      <c r="E45" s="295"/>
      <c r="F45" s="396">
        <f>+F41/F43</f>
        <v>9.930933876605659E-2</v>
      </c>
      <c r="G45" s="396">
        <f t="shared" ref="G45:O45" si="13">+G41/G43</f>
        <v>9.9243220697637108E-2</v>
      </c>
      <c r="H45" s="396">
        <f>+H41/H43</f>
        <v>9.9177190610679283E-2</v>
      </c>
      <c r="I45" s="393">
        <f>+I41/I43</f>
        <v>9.9111248329688137E-2</v>
      </c>
      <c r="J45" s="393">
        <f>+J41/J43</f>
        <v>9.9045393679635191E-2</v>
      </c>
      <c r="K45" s="393">
        <f t="shared" si="13"/>
        <v>9.8979626485956804E-2</v>
      </c>
      <c r="L45" s="393">
        <f t="shared" si="13"/>
        <v>9.8913946574552714E-2</v>
      </c>
      <c r="M45" s="393">
        <f t="shared" si="13"/>
        <v>9.8848353771784442E-2</v>
      </c>
      <c r="N45" s="393">
        <f t="shared" si="13"/>
        <v>9.8782847904473781E-2</v>
      </c>
      <c r="O45" s="393">
        <f t="shared" si="13"/>
        <v>9.871742879990128E-2</v>
      </c>
      <c r="P45" s="393">
        <f>+P41/P43</f>
        <v>9.8652096285804708E-2</v>
      </c>
      <c r="Q45" s="393">
        <f>+Q41/Q43</f>
        <v>9.8586850190377606E-2</v>
      </c>
      <c r="R45" s="295"/>
      <c r="V45" s="389">
        <f>+V41/V43</f>
        <v>0.13694313706651892</v>
      </c>
    </row>
    <row r="46" spans="1:22">
      <c r="A46" s="347"/>
      <c r="B46" s="347"/>
      <c r="C46" s="399"/>
      <c r="D46" s="400" t="s">
        <v>368</v>
      </c>
      <c r="E46" s="400"/>
      <c r="F46" s="401" t="e">
        <f>+F41/F38</f>
        <v>#DIV/0!</v>
      </c>
      <c r="G46" s="401">
        <f>+G41/G38</f>
        <v>0.17398066249228103</v>
      </c>
      <c r="H46" s="401">
        <f t="shared" ref="H46:Q46" si="14">+H41/H38</f>
        <v>0.16773012557883316</v>
      </c>
      <c r="I46" s="401">
        <f t="shared" si="14"/>
        <v>0.2983021688986594</v>
      </c>
      <c r="J46" s="401">
        <f>+J41/J38</f>
        <v>0.29555224894377924</v>
      </c>
      <c r="K46" s="401">
        <f t="shared" si="14"/>
        <v>0.29738172570582067</v>
      </c>
      <c r="L46" s="402" t="e">
        <f t="shared" si="14"/>
        <v>#DIV/0!</v>
      </c>
      <c r="M46" s="402" t="e">
        <f t="shared" si="14"/>
        <v>#DIV/0!</v>
      </c>
      <c r="N46" s="402" t="e">
        <f t="shared" si="14"/>
        <v>#DIV/0!</v>
      </c>
      <c r="O46" s="401" t="e">
        <f t="shared" si="14"/>
        <v>#DIV/0!</v>
      </c>
      <c r="P46" s="401" t="e">
        <f t="shared" si="14"/>
        <v>#DIV/0!</v>
      </c>
      <c r="Q46" s="402" t="e">
        <f t="shared" si="14"/>
        <v>#DIV/0!</v>
      </c>
      <c r="R46" s="400"/>
      <c r="S46" s="347"/>
      <c r="T46" s="347"/>
      <c r="U46" s="347"/>
      <c r="V46" s="402" t="e">
        <f>+V41/V38</f>
        <v>#DIV/0!</v>
      </c>
    </row>
    <row r="47" spans="1:22">
      <c r="C47" s="332"/>
      <c r="D47" s="295"/>
      <c r="E47" s="295"/>
      <c r="F47" s="403">
        <f>+F40-F44</f>
        <v>0</v>
      </c>
      <c r="G47" s="403">
        <f t="shared" ref="G47:M47" si="15">+G40-G44</f>
        <v>-0.20478173992681364</v>
      </c>
      <c r="H47" s="403">
        <f>+H40-H44</f>
        <v>-0.1976356371993675</v>
      </c>
      <c r="I47" s="403">
        <f t="shared" si="15"/>
        <v>-0.10906176085295255</v>
      </c>
      <c r="J47" s="403">
        <f>+J40-J44</f>
        <v>-0.10504703630183987</v>
      </c>
      <c r="K47" s="403">
        <f t="shared" si="15"/>
        <v>-0.11244031977763427</v>
      </c>
      <c r="L47" s="403" t="e">
        <f t="shared" si="15"/>
        <v>#DIV/0!</v>
      </c>
      <c r="M47" s="403" t="e">
        <f t="shared" si="15"/>
        <v>#DIV/0!</v>
      </c>
      <c r="N47" s="403" t="e">
        <f>+N40-N44</f>
        <v>#DIV/0!</v>
      </c>
      <c r="O47" s="403" t="e">
        <f>+O40-O44</f>
        <v>#DIV/0!</v>
      </c>
      <c r="P47" s="403" t="e">
        <f>+P40-P44</f>
        <v>#DIV/0!</v>
      </c>
      <c r="Q47" s="403" t="e">
        <f>+Q40-Q44</f>
        <v>#DIV/0!</v>
      </c>
      <c r="R47" s="295"/>
      <c r="V47" s="379"/>
    </row>
    <row r="48" spans="1:22">
      <c r="F48" s="191">
        <f>+F36*1.0245</f>
        <v>3782922.1474074023</v>
      </c>
      <c r="G48" s="254">
        <f>+(F$48*300*0.8)/1000</f>
        <v>907901.31537777663</v>
      </c>
      <c r="H48" s="52">
        <f>+H41+7000</f>
        <v>95006.91</v>
      </c>
      <c r="I48" s="52">
        <f>+I41+7000</f>
        <v>95006.91</v>
      </c>
      <c r="L48" s="4">
        <f>+L38*31</f>
        <v>0</v>
      </c>
      <c r="M48" s="4">
        <f>+M38*31</f>
        <v>0</v>
      </c>
      <c r="N48" s="4">
        <f>+N38*30</f>
        <v>0</v>
      </c>
      <c r="O48">
        <f>+O38*31</f>
        <v>0</v>
      </c>
      <c r="P48">
        <f>+P38*30</f>
        <v>0</v>
      </c>
      <c r="Q48">
        <f t="shared" ref="Q48" si="16">+Q38*31</f>
        <v>0</v>
      </c>
      <c r="R48" s="4">
        <f>SUM(O48:Q48)</f>
        <v>0</v>
      </c>
    </row>
    <row r="49" spans="2:22" ht="63">
      <c r="C49" t="s">
        <v>310</v>
      </c>
      <c r="D49" s="2" t="s">
        <v>369</v>
      </c>
      <c r="E49" t="s">
        <v>311</v>
      </c>
      <c r="F49" s="191">
        <f>+F36*0.71</f>
        <v>2621644.4359777994</v>
      </c>
      <c r="G49" s="191">
        <f>+F49*0.05</f>
        <v>131082.22179888998</v>
      </c>
      <c r="H49" s="277">
        <f>+G49/F36</f>
        <v>3.5499999999999997E-2</v>
      </c>
      <c r="K49" s="59"/>
      <c r="P49" s="2" t="s">
        <v>346</v>
      </c>
      <c r="Q49" s="259">
        <v>475055.35999999999</v>
      </c>
      <c r="S49" s="52">
        <f>+R41+22334</f>
        <v>81423.83</v>
      </c>
    </row>
    <row r="50" spans="2:22" ht="141.75">
      <c r="D50" t="s">
        <v>312</v>
      </c>
      <c r="E50" s="191">
        <f>+F43</f>
        <v>886189.66849953798</v>
      </c>
      <c r="P50" s="2" t="s">
        <v>347</v>
      </c>
      <c r="Q50" s="259">
        <f>3.2*Q49</f>
        <v>1520177.152</v>
      </c>
      <c r="S50" s="22">
        <f>+S49/V43</f>
        <v>0.10105440232612668</v>
      </c>
    </row>
    <row r="51" spans="2:22" ht="173.25">
      <c r="D51" t="s">
        <v>313</v>
      </c>
      <c r="E51" s="191">
        <f>+F38</f>
        <v>0</v>
      </c>
      <c r="F51" s="404">
        <f>+E52/E50</f>
        <v>9.930933876605659E-2</v>
      </c>
      <c r="G51" s="52">
        <f>+H41-G41</f>
        <v>0</v>
      </c>
      <c r="P51" s="2" t="s">
        <v>354</v>
      </c>
      <c r="Q51" s="259">
        <f>+(Q50*300*0.8)/1000</f>
        <v>364842.51647999999</v>
      </c>
    </row>
    <row r="52" spans="2:22">
      <c r="D52" t="s">
        <v>315</v>
      </c>
      <c r="E52" s="259">
        <f>+F41</f>
        <v>88006.91</v>
      </c>
      <c r="F52" s="355" t="e">
        <f>+E52/E51</f>
        <v>#DIV/0!</v>
      </c>
      <c r="G52">
        <f>+E52*1.07</f>
        <v>94167.393700000015</v>
      </c>
    </row>
    <row r="53" spans="2:22">
      <c r="B53" t="s">
        <v>370</v>
      </c>
      <c r="C53" s="405"/>
      <c r="G53" s="52"/>
    </row>
    <row r="54" spans="2:22">
      <c r="E54" s="406">
        <v>56312.89</v>
      </c>
      <c r="F54" s="407" t="s">
        <v>371</v>
      </c>
      <c r="G54" s="59"/>
    </row>
    <row r="55" spans="2:22">
      <c r="C55" s="408"/>
      <c r="D55" s="59"/>
      <c r="F55" s="52"/>
      <c r="G55" s="52"/>
    </row>
    <row r="56" spans="2:22">
      <c r="C56" s="409"/>
      <c r="D56" s="22"/>
      <c r="G56" s="59"/>
    </row>
    <row r="57" spans="2:22">
      <c r="C57" s="405"/>
      <c r="D57" s="410"/>
    </row>
    <row r="58" spans="2:22" ht="47.25">
      <c r="B58" t="s">
        <v>372</v>
      </c>
      <c r="C58" s="405"/>
      <c r="D58" s="2" t="s">
        <v>369</v>
      </c>
      <c r="E58" t="s">
        <v>311</v>
      </c>
      <c r="G58" s="52"/>
    </row>
    <row r="59" spans="2:22">
      <c r="C59" s="405"/>
      <c r="D59" t="s">
        <v>312</v>
      </c>
      <c r="E59" s="191">
        <f>+N43</f>
        <v>890912.86460080137</v>
      </c>
    </row>
    <row r="60" spans="2:22">
      <c r="C60" s="408"/>
      <c r="D60" t="s">
        <v>313</v>
      </c>
      <c r="E60" s="191">
        <f>+N38</f>
        <v>0</v>
      </c>
      <c r="G60" s="277"/>
      <c r="V60">
        <f>1600*6</f>
        <v>9600</v>
      </c>
    </row>
    <row r="61" spans="2:22">
      <c r="C61" s="408"/>
      <c r="D61" t="s">
        <v>315</v>
      </c>
      <c r="E61" s="259">
        <f>+E52</f>
        <v>88006.91</v>
      </c>
    </row>
    <row r="62" spans="2:22">
      <c r="C62" s="411"/>
      <c r="D62" s="191"/>
      <c r="G62" s="52"/>
    </row>
    <row r="63" spans="2:22">
      <c r="C63" s="409"/>
      <c r="G63" s="74"/>
    </row>
    <row r="64" spans="2:22">
      <c r="C64" s="409"/>
      <c r="D64" s="191"/>
      <c r="G64" s="277"/>
    </row>
    <row r="65" spans="3:7">
      <c r="C65" s="412"/>
      <c r="D65" s="191"/>
      <c r="F65" s="191"/>
    </row>
    <row r="66" spans="3:7" ht="47.25">
      <c r="D66" s="2" t="s">
        <v>369</v>
      </c>
      <c r="E66" t="s">
        <v>311</v>
      </c>
      <c r="F66" s="191"/>
      <c r="G66" s="191"/>
    </row>
    <row r="67" spans="3:7">
      <c r="C67" s="408"/>
      <c r="D67" t="s">
        <v>312</v>
      </c>
      <c r="E67" s="191">
        <f>+M43</f>
        <v>890322.46508814336</v>
      </c>
      <c r="F67" s="191"/>
      <c r="G67" s="191"/>
    </row>
    <row r="68" spans="3:7">
      <c r="D68" t="s">
        <v>313</v>
      </c>
      <c r="E68" s="191">
        <f>+L38</f>
        <v>0</v>
      </c>
    </row>
    <row r="69" spans="3:7">
      <c r="D69" t="s">
        <v>315</v>
      </c>
      <c r="E69" s="259">
        <f>+E52</f>
        <v>88006.91</v>
      </c>
      <c r="F69" s="52"/>
    </row>
    <row r="72" spans="3:7">
      <c r="F72" s="52"/>
    </row>
    <row r="73" spans="3:7">
      <c r="D73" s="191"/>
      <c r="F73" s="52"/>
    </row>
    <row r="74" spans="3:7">
      <c r="D74" s="191"/>
      <c r="F74" s="52"/>
    </row>
    <row r="75" spans="3:7">
      <c r="D75" s="191"/>
      <c r="F75" s="52"/>
      <c r="G75" s="52"/>
    </row>
    <row r="76" spans="3:7">
      <c r="D76" s="52"/>
      <c r="E76" s="191"/>
      <c r="F76" s="22"/>
    </row>
    <row r="77" spans="3:7">
      <c r="D77" s="22"/>
      <c r="E77" s="191"/>
      <c r="F77" s="22"/>
    </row>
    <row r="78" spans="3:7">
      <c r="D78" s="410"/>
      <c r="E78" s="191"/>
      <c r="F78" s="191"/>
      <c r="G78" s="52"/>
    </row>
    <row r="79" spans="3:7">
      <c r="E79" s="191"/>
    </row>
    <row r="80" spans="3:7">
      <c r="E80" s="52"/>
    </row>
    <row r="81" spans="4:6">
      <c r="D81" s="22"/>
      <c r="E81" s="52"/>
      <c r="F81" s="52"/>
    </row>
    <row r="82" spans="4:6">
      <c r="D82" s="410"/>
    </row>
    <row r="87" spans="4:6">
      <c r="D87" s="52"/>
    </row>
    <row r="90" spans="4:6">
      <c r="D90" s="1">
        <v>45292</v>
      </c>
    </row>
    <row r="95" spans="4:6" ht="16.5">
      <c r="D95" s="413"/>
    </row>
    <row r="96" spans="4:6" ht="16.5">
      <c r="D96" s="413"/>
    </row>
    <row r="97" spans="3:6" ht="16.5">
      <c r="D97" s="413"/>
    </row>
    <row r="98" spans="3:6" ht="16.5">
      <c r="D98" s="413"/>
      <c r="E98" s="191">
        <v>790652.4</v>
      </c>
    </row>
    <row r="99" spans="3:6" ht="16.5">
      <c r="C99" s="405">
        <v>527929.48</v>
      </c>
      <c r="D99" s="413">
        <v>4392</v>
      </c>
    </row>
    <row r="100" spans="3:6" ht="16.5">
      <c r="C100" s="344">
        <v>418075</v>
      </c>
      <c r="D100" s="413">
        <f>+(D99*300*0.8)/1000</f>
        <v>1054.08</v>
      </c>
      <c r="E100" s="355">
        <f>+D100/E98</f>
        <v>1.3331775126465182E-3</v>
      </c>
    </row>
    <row r="101" spans="3:6">
      <c r="C101" s="405">
        <f>SUM(C99:C100)</f>
        <v>946004.47999999998</v>
      </c>
      <c r="D101" s="414"/>
      <c r="E101" s="415">
        <f>+Q38+D100</f>
        <v>1054.08</v>
      </c>
      <c r="F101" s="52">
        <f>+Q38</f>
        <v>0</v>
      </c>
    </row>
    <row r="102" spans="3:6">
      <c r="C102" s="416">
        <f>+C101/H36</f>
        <v>0.25585827285112006</v>
      </c>
      <c r="D102" s="191"/>
      <c r="E102" s="277">
        <f>+E101/E98</f>
        <v>1.3331775126465182E-3</v>
      </c>
      <c r="F102" s="417">
        <f>+F101/E98</f>
        <v>0</v>
      </c>
    </row>
    <row r="103" spans="3:6">
      <c r="C103" s="418">
        <f>+C102/H37-1</f>
        <v>-0.56728820435975646</v>
      </c>
      <c r="D103" s="191"/>
    </row>
    <row r="105" spans="3:6">
      <c r="C105" s="419">
        <f>+H37</f>
        <v>0.59129026624418757</v>
      </c>
    </row>
    <row r="106" spans="3:6">
      <c r="C106" s="411">
        <f>+C102-C105</f>
        <v>-0.33543199339306751</v>
      </c>
      <c r="E106" s="420"/>
    </row>
    <row r="107" spans="3:6">
      <c r="C107" s="344">
        <f>219-122</f>
        <v>97</v>
      </c>
      <c r="F107">
        <v>2520</v>
      </c>
    </row>
    <row r="108" spans="3:6">
      <c r="E108" s="280" t="s">
        <v>217</v>
      </c>
      <c r="F108">
        <f>+(F$107*300*0.8)/1000</f>
        <v>604.79999999999995</v>
      </c>
    </row>
    <row r="109" spans="3:6">
      <c r="E109" t="s">
        <v>373</v>
      </c>
      <c r="F109" s="191">
        <f>+F108*264</f>
        <v>159667.19999999998</v>
      </c>
    </row>
    <row r="113" spans="4:12">
      <c r="E113" t="s">
        <v>374</v>
      </c>
      <c r="F113" s="421">
        <v>239040</v>
      </c>
      <c r="G113">
        <v>2520</v>
      </c>
      <c r="H113">
        <f>+G113/6</f>
        <v>420</v>
      </c>
    </row>
    <row r="114" spans="4:12">
      <c r="E114" t="s">
        <v>273</v>
      </c>
      <c r="F114" s="191">
        <f>+F113/264</f>
        <v>905.4545454545455</v>
      </c>
    </row>
    <row r="115" spans="4:12">
      <c r="G115" s="52">
        <f>+F114+30600</f>
        <v>31505.454545454544</v>
      </c>
      <c r="H115">
        <v>30600</v>
      </c>
      <c r="I115" s="52">
        <f>+G115-H115</f>
        <v>905.45454545454413</v>
      </c>
    </row>
    <row r="116" spans="4:12">
      <c r="F116">
        <f>+F107/6</f>
        <v>420</v>
      </c>
      <c r="G116" s="277">
        <f>+G115/30600-1</f>
        <v>2.9590017825311898E-2</v>
      </c>
      <c r="I116" s="52"/>
    </row>
    <row r="117" spans="4:12">
      <c r="D117" t="s">
        <v>375</v>
      </c>
      <c r="F117" s="13">
        <f>+F116+P34</f>
        <v>420</v>
      </c>
      <c r="G117" s="13">
        <f>+F117-F116</f>
        <v>0</v>
      </c>
      <c r="H117" s="22" t="e">
        <f>+F117/G117-1</f>
        <v>#DIV/0!</v>
      </c>
    </row>
    <row r="118" spans="4:12" ht="16.5" thickBot="1">
      <c r="F118" s="22" t="e">
        <f>+F117/P34-1</f>
        <v>#DIV/0!</v>
      </c>
    </row>
    <row r="119" spans="4:12" ht="16.5" thickBot="1">
      <c r="D119" s="422" t="s">
        <v>376</v>
      </c>
      <c r="E119" s="423">
        <v>2010</v>
      </c>
      <c r="F119" s="424">
        <v>2011</v>
      </c>
      <c r="G119" s="424">
        <v>2012</v>
      </c>
      <c r="H119" s="424">
        <v>2013</v>
      </c>
      <c r="I119" s="424">
        <v>2014</v>
      </c>
      <c r="J119" s="424">
        <v>2015</v>
      </c>
      <c r="L119" s="22"/>
    </row>
    <row r="120" spans="4:12" ht="16.5" thickBot="1">
      <c r="D120" s="425" t="s">
        <v>321</v>
      </c>
      <c r="E120" s="426">
        <v>600950</v>
      </c>
      <c r="F120" s="426">
        <v>615673</v>
      </c>
      <c r="G120" s="426">
        <v>630757</v>
      </c>
      <c r="H120" s="426">
        <v>646211</v>
      </c>
      <c r="I120" s="426">
        <v>662043</v>
      </c>
      <c r="J120" s="426">
        <v>678263</v>
      </c>
    </row>
    <row r="121" spans="4:12" ht="16.5" thickBot="1">
      <c r="D121" s="425" t="s">
        <v>377</v>
      </c>
      <c r="E121" s="427">
        <v>144228</v>
      </c>
      <c r="F121" s="427">
        <v>147761.51999999999</v>
      </c>
      <c r="G121" s="427">
        <v>151381.68</v>
      </c>
      <c r="H121" s="427">
        <v>155090.64000000001</v>
      </c>
      <c r="I121" s="427">
        <v>158890.32</v>
      </c>
      <c r="J121" s="427">
        <v>162783.12</v>
      </c>
    </row>
    <row r="123" spans="4:12">
      <c r="F123" s="277">
        <f>+F121/E121-1</f>
        <v>2.4499542391213769E-2</v>
      </c>
      <c r="G123" s="277">
        <f>+G121/F121-1</f>
        <v>2.4500018678746738E-2</v>
      </c>
      <c r="H123" s="277">
        <f>+H121/G121-1</f>
        <v>2.450071897735584E-2</v>
      </c>
      <c r="I123" s="277">
        <f>+I121/H121-1</f>
        <v>2.4499737701772384E-2</v>
      </c>
      <c r="J123" s="277">
        <f>+J121/I121-1</f>
        <v>2.4499919189538977E-2</v>
      </c>
    </row>
    <row r="124" spans="4:12">
      <c r="F124">
        <f>+F120/E120-1</f>
        <v>2.4499542391213991E-2</v>
      </c>
    </row>
    <row r="129" spans="3:8">
      <c r="C129" s="344">
        <v>71.459999999999994</v>
      </c>
    </row>
    <row r="130" spans="3:8">
      <c r="C130" s="344">
        <v>89.98</v>
      </c>
    </row>
    <row r="131" spans="3:8" ht="47.25">
      <c r="C131" s="344">
        <f>+C130-C130</f>
        <v>0</v>
      </c>
      <c r="D131" s="2" t="s">
        <v>369</v>
      </c>
    </row>
    <row r="132" spans="3:8">
      <c r="E132" t="s">
        <v>311</v>
      </c>
      <c r="F132" s="1">
        <v>45413</v>
      </c>
      <c r="G132" t="s">
        <v>311</v>
      </c>
    </row>
    <row r="133" spans="3:8" ht="63">
      <c r="D133" s="672" t="s">
        <v>364</v>
      </c>
      <c r="E133" s="254">
        <v>880609.85166666668</v>
      </c>
      <c r="F133" s="672" t="s">
        <v>364</v>
      </c>
      <c r="G133" s="254">
        <v>880609.85166666668</v>
      </c>
    </row>
    <row r="134" spans="3:8" ht="126">
      <c r="D134" s="672" t="s">
        <v>354</v>
      </c>
      <c r="E134" s="191">
        <v>308945.98800000001</v>
      </c>
      <c r="F134" s="672" t="s">
        <v>354</v>
      </c>
      <c r="G134" s="280">
        <v>308945.98800000001</v>
      </c>
    </row>
    <row r="135" spans="3:8" ht="31.5">
      <c r="D135" s="672" t="s">
        <v>360</v>
      </c>
      <c r="E135" s="259">
        <v>85155.91</v>
      </c>
      <c r="F135" s="672" t="s">
        <v>360</v>
      </c>
      <c r="G135" s="673">
        <v>85155.91</v>
      </c>
    </row>
    <row r="142" spans="3:8">
      <c r="H142" s="1">
        <v>38018</v>
      </c>
    </row>
    <row r="146" spans="4:8">
      <c r="D146" t="s">
        <v>378</v>
      </c>
      <c r="E146" t="s">
        <v>379</v>
      </c>
      <c r="F146" t="s">
        <v>380</v>
      </c>
    </row>
    <row r="147" spans="4:8">
      <c r="D147">
        <v>2010</v>
      </c>
      <c r="E147" s="191">
        <f>+E120</f>
        <v>600950</v>
      </c>
      <c r="F147" s="191">
        <f>+(E147*300*0.8)/1000</f>
        <v>144228</v>
      </c>
    </row>
    <row r="148" spans="4:8">
      <c r="D148">
        <v>2011</v>
      </c>
      <c r="E148" s="191">
        <f>+F120</f>
        <v>615673</v>
      </c>
      <c r="F148" s="191">
        <f t="shared" ref="F148:F155" si="17">+(E148*300*0.8)/1000</f>
        <v>147761.51999999999</v>
      </c>
    </row>
    <row r="149" spans="4:8">
      <c r="D149">
        <v>2012</v>
      </c>
      <c r="E149" s="191">
        <f>+G120</f>
        <v>630757</v>
      </c>
      <c r="F149" s="191">
        <f t="shared" si="17"/>
        <v>151381.68</v>
      </c>
    </row>
    <row r="150" spans="4:8">
      <c r="D150">
        <v>2013</v>
      </c>
      <c r="E150" s="191">
        <f>+H120</f>
        <v>646211</v>
      </c>
      <c r="F150" s="191">
        <f t="shared" si="17"/>
        <v>155090.64000000001</v>
      </c>
    </row>
    <row r="151" spans="4:8">
      <c r="D151">
        <v>2014</v>
      </c>
      <c r="E151" s="191">
        <f>+I120</f>
        <v>662043</v>
      </c>
      <c r="F151" s="191">
        <f t="shared" si="17"/>
        <v>158890.32</v>
      </c>
    </row>
    <row r="152" spans="4:8">
      <c r="D152">
        <v>2015</v>
      </c>
      <c r="E152" s="191">
        <f>+J120</f>
        <v>678263</v>
      </c>
      <c r="F152" s="191">
        <f t="shared" si="17"/>
        <v>162783.12</v>
      </c>
    </row>
    <row r="153" spans="4:8">
      <c r="D153">
        <v>2020</v>
      </c>
      <c r="E153" s="191">
        <v>700995</v>
      </c>
      <c r="F153" s="191">
        <f t="shared" si="17"/>
        <v>168238.8</v>
      </c>
      <c r="G153" s="59">
        <f>+E153/E152-1</f>
        <v>3.3515022933581884E-2</v>
      </c>
      <c r="H153">
        <f>+G153/3</f>
        <v>1.1171674311193961E-2</v>
      </c>
    </row>
    <row r="154" spans="4:8">
      <c r="D154">
        <v>2030</v>
      </c>
      <c r="E154" s="191">
        <v>799279</v>
      </c>
      <c r="F154" s="191">
        <f t="shared" si="17"/>
        <v>191826.96</v>
      </c>
    </row>
    <row r="155" spans="4:8">
      <c r="D155">
        <v>2040</v>
      </c>
      <c r="E155" s="191">
        <v>897489</v>
      </c>
      <c r="F155" s="191">
        <f t="shared" si="17"/>
        <v>215397.36</v>
      </c>
    </row>
    <row r="160" spans="4:8" ht="16.5" thickBot="1"/>
    <row r="161" spans="1:11">
      <c r="D161" s="428" t="s">
        <v>376</v>
      </c>
      <c r="E161" s="429">
        <v>2010</v>
      </c>
      <c r="F161" s="430">
        <v>2015</v>
      </c>
      <c r="G161" s="430">
        <v>2020</v>
      </c>
      <c r="H161" s="430">
        <v>2025</v>
      </c>
      <c r="I161" s="430">
        <v>2030</v>
      </c>
      <c r="J161" s="430">
        <v>2035</v>
      </c>
      <c r="K161" s="431">
        <v>2040</v>
      </c>
    </row>
    <row r="162" spans="1:11">
      <c r="D162" s="432" t="s">
        <v>321</v>
      </c>
      <c r="E162" s="433">
        <v>600950</v>
      </c>
      <c r="F162" s="433">
        <v>678263</v>
      </c>
      <c r="G162" s="433">
        <v>700995</v>
      </c>
      <c r="H162" s="433">
        <f>+G162*1.08</f>
        <v>757074.60000000009</v>
      </c>
      <c r="I162" s="433">
        <v>799279</v>
      </c>
      <c r="J162" s="433">
        <f>+I162*1.08</f>
        <v>863221.32000000007</v>
      </c>
      <c r="K162" s="434">
        <v>897489</v>
      </c>
    </row>
    <row r="163" spans="1:11" ht="16.5" thickBot="1">
      <c r="D163" s="435" t="s">
        <v>377</v>
      </c>
      <c r="E163" s="436">
        <f>+(E162*300*0.8)/1000</f>
        <v>144228</v>
      </c>
      <c r="F163" s="436">
        <f t="shared" ref="F163:K163" si="18">+(F162*300*0.8)/1000</f>
        <v>162783.12</v>
      </c>
      <c r="G163" s="436">
        <f t="shared" si="18"/>
        <v>168238.8</v>
      </c>
      <c r="H163" s="436">
        <f t="shared" si="18"/>
        <v>181697.90400000004</v>
      </c>
      <c r="I163" s="436">
        <f t="shared" si="18"/>
        <v>191826.96</v>
      </c>
      <c r="J163" s="436">
        <f t="shared" si="18"/>
        <v>207173.11680000005</v>
      </c>
      <c r="K163" s="437">
        <f t="shared" si="18"/>
        <v>215397.36</v>
      </c>
    </row>
    <row r="165" spans="1:11">
      <c r="F165" s="59">
        <f>+F162/E162-1</f>
        <v>0.12865130210500042</v>
      </c>
      <c r="G165" s="59">
        <f>+G162/E162-1</f>
        <v>0.16647807637906653</v>
      </c>
      <c r="H165" s="59">
        <f>+H162/G162-1</f>
        <v>8.0000000000000071E-2</v>
      </c>
      <c r="I165" s="59">
        <f>+I162/H162-1</f>
        <v>5.5746685993691925E-2</v>
      </c>
      <c r="J165" s="59">
        <f>+K162/I162-1</f>
        <v>0.12287323950710571</v>
      </c>
    </row>
    <row r="166" spans="1:11">
      <c r="D166" s="59">
        <v>2.4500000000000001E-2</v>
      </c>
      <c r="G166" s="59"/>
      <c r="J166">
        <f>+J165/10</f>
        <v>1.2287323950710572E-2</v>
      </c>
    </row>
    <row r="167" spans="1:11">
      <c r="D167" s="59">
        <f>+D166*5</f>
        <v>0.1225</v>
      </c>
    </row>
    <row r="173" spans="1:11">
      <c r="A173" s="671"/>
      <c r="B173" s="1"/>
    </row>
    <row r="174" spans="1:11">
      <c r="A174" s="671"/>
      <c r="B174" s="521"/>
    </row>
    <row r="175" spans="1:11">
      <c r="A175" s="671"/>
      <c r="B175" s="52"/>
    </row>
    <row r="176" spans="1:11">
      <c r="A176" s="671"/>
      <c r="B176" s="52"/>
    </row>
    <row r="194" spans="5:5">
      <c r="E194" s="52">
        <f>+F41</f>
        <v>88006.91</v>
      </c>
    </row>
    <row r="196" spans="5:5">
      <c r="E196" s="13">
        <f>+E194+904.86</f>
        <v>88911.77</v>
      </c>
    </row>
    <row r="197" spans="5:5">
      <c r="E197" s="277">
        <f>+E196/E194-1</f>
        <v>1.0281692653451913E-2</v>
      </c>
    </row>
    <row r="198" spans="5:5">
      <c r="E198" s="315">
        <v>0.16139999999999999</v>
      </c>
    </row>
    <row r="199" spans="5:5">
      <c r="E199" s="315">
        <f>+E198-E197</f>
        <v>0.15111830734654808</v>
      </c>
    </row>
    <row r="214" spans="1:6" ht="16.5" thickBot="1"/>
    <row r="215" spans="1:6" ht="16.5" thickBot="1">
      <c r="A215" s="438"/>
      <c r="B215" s="439"/>
      <c r="C215" s="439"/>
      <c r="D215">
        <v>4500</v>
      </c>
    </row>
    <row r="216" spans="1:6" ht="16.5" thickBot="1">
      <c r="A216" s="440"/>
      <c r="B216" s="441"/>
      <c r="C216" s="441"/>
      <c r="D216">
        <v>2800</v>
      </c>
      <c r="E216" s="59"/>
    </row>
    <row r="217" spans="1:6" ht="16.5" thickBot="1">
      <c r="A217" s="442"/>
      <c r="B217" s="443"/>
      <c r="C217" s="444"/>
      <c r="D217">
        <f>SUM(D215:D216)</f>
        <v>7300</v>
      </c>
      <c r="E217" s="59"/>
    </row>
    <row r="218" spans="1:6" ht="16.5" thickBot="1">
      <c r="A218" s="440"/>
      <c r="B218" s="445"/>
      <c r="C218" s="441"/>
      <c r="D218" s="59"/>
      <c r="E218" s="59"/>
      <c r="F218" s="191">
        <v>5000</v>
      </c>
    </row>
    <row r="219" spans="1:6" ht="16.5" thickBot="1">
      <c r="A219" s="440"/>
      <c r="B219" s="446"/>
      <c r="C219" s="447"/>
      <c r="F219" s="191">
        <v>4500</v>
      </c>
    </row>
    <row r="220" spans="1:6">
      <c r="F220" s="191">
        <v>2800</v>
      </c>
    </row>
    <row r="221" spans="1:6">
      <c r="C221" s="405"/>
      <c r="F221" s="191">
        <v>2000</v>
      </c>
    </row>
    <row r="222" spans="1:6">
      <c r="F222" s="191">
        <v>2400</v>
      </c>
    </row>
    <row r="223" spans="1:6">
      <c r="F223" s="191">
        <v>9700</v>
      </c>
    </row>
    <row r="224" spans="1:6">
      <c r="F224" s="191">
        <f>SUM(F218:F223)</f>
        <v>26400</v>
      </c>
    </row>
    <row r="225" spans="6:6">
      <c r="F225" s="191">
        <v>-40000</v>
      </c>
    </row>
    <row r="226" spans="6:6">
      <c r="F226" s="52">
        <f>SUM(F224:F225)</f>
        <v>-13600</v>
      </c>
    </row>
  </sheetData>
  <mergeCells count="5">
    <mergeCell ref="M22:N22"/>
    <mergeCell ref="G17:I17"/>
    <mergeCell ref="G18:H18"/>
    <mergeCell ref="C31:D31"/>
    <mergeCell ref="I1:J1"/>
  </mergeCells>
  <phoneticPr fontId="105" type="noConversion"/>
  <pageMargins left="0.7" right="0.7" top="0.75" bottom="0.75" header="0.3" footer="0.3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EC1CE-285B-4F57-B507-E386A11F9F13}">
  <sheetPr codeName="Hoja18">
    <tabColor rgb="FF92D050"/>
  </sheetPr>
  <dimension ref="B1:I67"/>
  <sheetViews>
    <sheetView workbookViewId="0">
      <selection activeCell="C50" sqref="C50"/>
    </sheetView>
  </sheetViews>
  <sheetFormatPr baseColWidth="10" defaultRowHeight="15.75"/>
  <cols>
    <col min="2" max="2" width="17" bestFit="1" customWidth="1"/>
    <col min="3" max="3" width="31.75" customWidth="1"/>
    <col min="4" max="4" width="32.875" customWidth="1"/>
    <col min="5" max="5" width="9.875" bestFit="1" customWidth="1"/>
    <col min="258" max="258" width="17" bestFit="1" customWidth="1"/>
    <col min="259" max="259" width="31.75" customWidth="1"/>
    <col min="260" max="260" width="32.875" customWidth="1"/>
    <col min="261" max="261" width="9.875" bestFit="1" customWidth="1"/>
    <col min="514" max="514" width="17" bestFit="1" customWidth="1"/>
    <col min="515" max="515" width="31.75" customWidth="1"/>
    <col min="516" max="516" width="32.875" customWidth="1"/>
    <col min="517" max="517" width="9.875" bestFit="1" customWidth="1"/>
    <col min="770" max="770" width="17" bestFit="1" customWidth="1"/>
    <col min="771" max="771" width="31.75" customWidth="1"/>
    <col min="772" max="772" width="32.875" customWidth="1"/>
    <col min="773" max="773" width="9.875" bestFit="1" customWidth="1"/>
    <col min="1026" max="1026" width="17" bestFit="1" customWidth="1"/>
    <col min="1027" max="1027" width="31.75" customWidth="1"/>
    <col min="1028" max="1028" width="32.875" customWidth="1"/>
    <col min="1029" max="1029" width="9.875" bestFit="1" customWidth="1"/>
    <col min="1282" max="1282" width="17" bestFit="1" customWidth="1"/>
    <col min="1283" max="1283" width="31.75" customWidth="1"/>
    <col min="1284" max="1284" width="32.875" customWidth="1"/>
    <col min="1285" max="1285" width="9.875" bestFit="1" customWidth="1"/>
    <col min="1538" max="1538" width="17" bestFit="1" customWidth="1"/>
    <col min="1539" max="1539" width="31.75" customWidth="1"/>
    <col min="1540" max="1540" width="32.875" customWidth="1"/>
    <col min="1541" max="1541" width="9.875" bestFit="1" customWidth="1"/>
    <col min="1794" max="1794" width="17" bestFit="1" customWidth="1"/>
    <col min="1795" max="1795" width="31.75" customWidth="1"/>
    <col min="1796" max="1796" width="32.875" customWidth="1"/>
    <col min="1797" max="1797" width="9.875" bestFit="1" customWidth="1"/>
    <col min="2050" max="2050" width="17" bestFit="1" customWidth="1"/>
    <col min="2051" max="2051" width="31.75" customWidth="1"/>
    <col min="2052" max="2052" width="32.875" customWidth="1"/>
    <col min="2053" max="2053" width="9.875" bestFit="1" customWidth="1"/>
    <col min="2306" max="2306" width="17" bestFit="1" customWidth="1"/>
    <col min="2307" max="2307" width="31.75" customWidth="1"/>
    <col min="2308" max="2308" width="32.875" customWidth="1"/>
    <col min="2309" max="2309" width="9.875" bestFit="1" customWidth="1"/>
    <col min="2562" max="2562" width="17" bestFit="1" customWidth="1"/>
    <col min="2563" max="2563" width="31.75" customWidth="1"/>
    <col min="2564" max="2564" width="32.875" customWidth="1"/>
    <col min="2565" max="2565" width="9.875" bestFit="1" customWidth="1"/>
    <col min="2818" max="2818" width="17" bestFit="1" customWidth="1"/>
    <col min="2819" max="2819" width="31.75" customWidth="1"/>
    <col min="2820" max="2820" width="32.875" customWidth="1"/>
    <col min="2821" max="2821" width="9.875" bestFit="1" customWidth="1"/>
    <col min="3074" max="3074" width="17" bestFit="1" customWidth="1"/>
    <col min="3075" max="3075" width="31.75" customWidth="1"/>
    <col min="3076" max="3076" width="32.875" customWidth="1"/>
    <col min="3077" max="3077" width="9.875" bestFit="1" customWidth="1"/>
    <col min="3330" max="3330" width="17" bestFit="1" customWidth="1"/>
    <col min="3331" max="3331" width="31.75" customWidth="1"/>
    <col min="3332" max="3332" width="32.875" customWidth="1"/>
    <col min="3333" max="3333" width="9.875" bestFit="1" customWidth="1"/>
    <col min="3586" max="3586" width="17" bestFit="1" customWidth="1"/>
    <col min="3587" max="3587" width="31.75" customWidth="1"/>
    <col min="3588" max="3588" width="32.875" customWidth="1"/>
    <col min="3589" max="3589" width="9.875" bestFit="1" customWidth="1"/>
    <col min="3842" max="3842" width="17" bestFit="1" customWidth="1"/>
    <col min="3843" max="3843" width="31.75" customWidth="1"/>
    <col min="3844" max="3844" width="32.875" customWidth="1"/>
    <col min="3845" max="3845" width="9.875" bestFit="1" customWidth="1"/>
    <col min="4098" max="4098" width="17" bestFit="1" customWidth="1"/>
    <col min="4099" max="4099" width="31.75" customWidth="1"/>
    <col min="4100" max="4100" width="32.875" customWidth="1"/>
    <col min="4101" max="4101" width="9.875" bestFit="1" customWidth="1"/>
    <col min="4354" max="4354" width="17" bestFit="1" customWidth="1"/>
    <col min="4355" max="4355" width="31.75" customWidth="1"/>
    <col min="4356" max="4356" width="32.875" customWidth="1"/>
    <col min="4357" max="4357" width="9.875" bestFit="1" customWidth="1"/>
    <col min="4610" max="4610" width="17" bestFit="1" customWidth="1"/>
    <col min="4611" max="4611" width="31.75" customWidth="1"/>
    <col min="4612" max="4612" width="32.875" customWidth="1"/>
    <col min="4613" max="4613" width="9.875" bestFit="1" customWidth="1"/>
    <col min="4866" max="4866" width="17" bestFit="1" customWidth="1"/>
    <col min="4867" max="4867" width="31.75" customWidth="1"/>
    <col min="4868" max="4868" width="32.875" customWidth="1"/>
    <col min="4869" max="4869" width="9.875" bestFit="1" customWidth="1"/>
    <col min="5122" max="5122" width="17" bestFit="1" customWidth="1"/>
    <col min="5123" max="5123" width="31.75" customWidth="1"/>
    <col min="5124" max="5124" width="32.875" customWidth="1"/>
    <col min="5125" max="5125" width="9.875" bestFit="1" customWidth="1"/>
    <col min="5378" max="5378" width="17" bestFit="1" customWidth="1"/>
    <col min="5379" max="5379" width="31.75" customWidth="1"/>
    <col min="5380" max="5380" width="32.875" customWidth="1"/>
    <col min="5381" max="5381" width="9.875" bestFit="1" customWidth="1"/>
    <col min="5634" max="5634" width="17" bestFit="1" customWidth="1"/>
    <col min="5635" max="5635" width="31.75" customWidth="1"/>
    <col min="5636" max="5636" width="32.875" customWidth="1"/>
    <col min="5637" max="5637" width="9.875" bestFit="1" customWidth="1"/>
    <col min="5890" max="5890" width="17" bestFit="1" customWidth="1"/>
    <col min="5891" max="5891" width="31.75" customWidth="1"/>
    <col min="5892" max="5892" width="32.875" customWidth="1"/>
    <col min="5893" max="5893" width="9.875" bestFit="1" customWidth="1"/>
    <col min="6146" max="6146" width="17" bestFit="1" customWidth="1"/>
    <col min="6147" max="6147" width="31.75" customWidth="1"/>
    <col min="6148" max="6148" width="32.875" customWidth="1"/>
    <col min="6149" max="6149" width="9.875" bestFit="1" customWidth="1"/>
    <col min="6402" max="6402" width="17" bestFit="1" customWidth="1"/>
    <col min="6403" max="6403" width="31.75" customWidth="1"/>
    <col min="6404" max="6404" width="32.875" customWidth="1"/>
    <col min="6405" max="6405" width="9.875" bestFit="1" customWidth="1"/>
    <col min="6658" max="6658" width="17" bestFit="1" customWidth="1"/>
    <col min="6659" max="6659" width="31.75" customWidth="1"/>
    <col min="6660" max="6660" width="32.875" customWidth="1"/>
    <col min="6661" max="6661" width="9.875" bestFit="1" customWidth="1"/>
    <col min="6914" max="6914" width="17" bestFit="1" customWidth="1"/>
    <col min="6915" max="6915" width="31.75" customWidth="1"/>
    <col min="6916" max="6916" width="32.875" customWidth="1"/>
    <col min="6917" max="6917" width="9.875" bestFit="1" customWidth="1"/>
    <col min="7170" max="7170" width="17" bestFit="1" customWidth="1"/>
    <col min="7171" max="7171" width="31.75" customWidth="1"/>
    <col min="7172" max="7172" width="32.875" customWidth="1"/>
    <col min="7173" max="7173" width="9.875" bestFit="1" customWidth="1"/>
    <col min="7426" max="7426" width="17" bestFit="1" customWidth="1"/>
    <col min="7427" max="7427" width="31.75" customWidth="1"/>
    <col min="7428" max="7428" width="32.875" customWidth="1"/>
    <col min="7429" max="7429" width="9.875" bestFit="1" customWidth="1"/>
    <col min="7682" max="7682" width="17" bestFit="1" customWidth="1"/>
    <col min="7683" max="7683" width="31.75" customWidth="1"/>
    <col min="7684" max="7684" width="32.875" customWidth="1"/>
    <col min="7685" max="7685" width="9.875" bestFit="1" customWidth="1"/>
    <col min="7938" max="7938" width="17" bestFit="1" customWidth="1"/>
    <col min="7939" max="7939" width="31.75" customWidth="1"/>
    <col min="7940" max="7940" width="32.875" customWidth="1"/>
    <col min="7941" max="7941" width="9.875" bestFit="1" customWidth="1"/>
    <col min="8194" max="8194" width="17" bestFit="1" customWidth="1"/>
    <col min="8195" max="8195" width="31.75" customWidth="1"/>
    <col min="8196" max="8196" width="32.875" customWidth="1"/>
    <col min="8197" max="8197" width="9.875" bestFit="1" customWidth="1"/>
    <col min="8450" max="8450" width="17" bestFit="1" customWidth="1"/>
    <col min="8451" max="8451" width="31.75" customWidth="1"/>
    <col min="8452" max="8452" width="32.875" customWidth="1"/>
    <col min="8453" max="8453" width="9.875" bestFit="1" customWidth="1"/>
    <col min="8706" max="8706" width="17" bestFit="1" customWidth="1"/>
    <col min="8707" max="8707" width="31.75" customWidth="1"/>
    <col min="8708" max="8708" width="32.875" customWidth="1"/>
    <col min="8709" max="8709" width="9.875" bestFit="1" customWidth="1"/>
    <col min="8962" max="8962" width="17" bestFit="1" customWidth="1"/>
    <col min="8963" max="8963" width="31.75" customWidth="1"/>
    <col min="8964" max="8964" width="32.875" customWidth="1"/>
    <col min="8965" max="8965" width="9.875" bestFit="1" customWidth="1"/>
    <col min="9218" max="9218" width="17" bestFit="1" customWidth="1"/>
    <col min="9219" max="9219" width="31.75" customWidth="1"/>
    <col min="9220" max="9220" width="32.875" customWidth="1"/>
    <col min="9221" max="9221" width="9.875" bestFit="1" customWidth="1"/>
    <col min="9474" max="9474" width="17" bestFit="1" customWidth="1"/>
    <col min="9475" max="9475" width="31.75" customWidth="1"/>
    <col min="9476" max="9476" width="32.875" customWidth="1"/>
    <col min="9477" max="9477" width="9.875" bestFit="1" customWidth="1"/>
    <col min="9730" max="9730" width="17" bestFit="1" customWidth="1"/>
    <col min="9731" max="9731" width="31.75" customWidth="1"/>
    <col min="9732" max="9732" width="32.875" customWidth="1"/>
    <col min="9733" max="9733" width="9.875" bestFit="1" customWidth="1"/>
    <col min="9986" max="9986" width="17" bestFit="1" customWidth="1"/>
    <col min="9987" max="9987" width="31.75" customWidth="1"/>
    <col min="9988" max="9988" width="32.875" customWidth="1"/>
    <col min="9989" max="9989" width="9.875" bestFit="1" customWidth="1"/>
    <col min="10242" max="10242" width="17" bestFit="1" customWidth="1"/>
    <col min="10243" max="10243" width="31.75" customWidth="1"/>
    <col min="10244" max="10244" width="32.875" customWidth="1"/>
    <col min="10245" max="10245" width="9.875" bestFit="1" customWidth="1"/>
    <col min="10498" max="10498" width="17" bestFit="1" customWidth="1"/>
    <col min="10499" max="10499" width="31.75" customWidth="1"/>
    <col min="10500" max="10500" width="32.875" customWidth="1"/>
    <col min="10501" max="10501" width="9.875" bestFit="1" customWidth="1"/>
    <col min="10754" max="10754" width="17" bestFit="1" customWidth="1"/>
    <col min="10755" max="10755" width="31.75" customWidth="1"/>
    <col min="10756" max="10756" width="32.875" customWidth="1"/>
    <col min="10757" max="10757" width="9.875" bestFit="1" customWidth="1"/>
    <col min="11010" max="11010" width="17" bestFit="1" customWidth="1"/>
    <col min="11011" max="11011" width="31.75" customWidth="1"/>
    <col min="11012" max="11012" width="32.875" customWidth="1"/>
    <col min="11013" max="11013" width="9.875" bestFit="1" customWidth="1"/>
    <col min="11266" max="11266" width="17" bestFit="1" customWidth="1"/>
    <col min="11267" max="11267" width="31.75" customWidth="1"/>
    <col min="11268" max="11268" width="32.875" customWidth="1"/>
    <col min="11269" max="11269" width="9.875" bestFit="1" customWidth="1"/>
    <col min="11522" max="11522" width="17" bestFit="1" customWidth="1"/>
    <col min="11523" max="11523" width="31.75" customWidth="1"/>
    <col min="11524" max="11524" width="32.875" customWidth="1"/>
    <col min="11525" max="11525" width="9.875" bestFit="1" customWidth="1"/>
    <col min="11778" max="11778" width="17" bestFit="1" customWidth="1"/>
    <col min="11779" max="11779" width="31.75" customWidth="1"/>
    <col min="11780" max="11780" width="32.875" customWidth="1"/>
    <col min="11781" max="11781" width="9.875" bestFit="1" customWidth="1"/>
    <col min="12034" max="12034" width="17" bestFit="1" customWidth="1"/>
    <col min="12035" max="12035" width="31.75" customWidth="1"/>
    <col min="12036" max="12036" width="32.875" customWidth="1"/>
    <col min="12037" max="12037" width="9.875" bestFit="1" customWidth="1"/>
    <col min="12290" max="12290" width="17" bestFit="1" customWidth="1"/>
    <col min="12291" max="12291" width="31.75" customWidth="1"/>
    <col min="12292" max="12292" width="32.875" customWidth="1"/>
    <col min="12293" max="12293" width="9.875" bestFit="1" customWidth="1"/>
    <col min="12546" max="12546" width="17" bestFit="1" customWidth="1"/>
    <col min="12547" max="12547" width="31.75" customWidth="1"/>
    <col min="12548" max="12548" width="32.875" customWidth="1"/>
    <col min="12549" max="12549" width="9.875" bestFit="1" customWidth="1"/>
    <col min="12802" max="12802" width="17" bestFit="1" customWidth="1"/>
    <col min="12803" max="12803" width="31.75" customWidth="1"/>
    <col min="12804" max="12804" width="32.875" customWidth="1"/>
    <col min="12805" max="12805" width="9.875" bestFit="1" customWidth="1"/>
    <col min="13058" max="13058" width="17" bestFit="1" customWidth="1"/>
    <col min="13059" max="13059" width="31.75" customWidth="1"/>
    <col min="13060" max="13060" width="32.875" customWidth="1"/>
    <col min="13061" max="13061" width="9.875" bestFit="1" customWidth="1"/>
    <col min="13314" max="13314" width="17" bestFit="1" customWidth="1"/>
    <col min="13315" max="13315" width="31.75" customWidth="1"/>
    <col min="13316" max="13316" width="32.875" customWidth="1"/>
    <col min="13317" max="13317" width="9.875" bestFit="1" customWidth="1"/>
    <col min="13570" max="13570" width="17" bestFit="1" customWidth="1"/>
    <col min="13571" max="13571" width="31.75" customWidth="1"/>
    <col min="13572" max="13572" width="32.875" customWidth="1"/>
    <col min="13573" max="13573" width="9.875" bestFit="1" customWidth="1"/>
    <col min="13826" max="13826" width="17" bestFit="1" customWidth="1"/>
    <col min="13827" max="13827" width="31.75" customWidth="1"/>
    <col min="13828" max="13828" width="32.875" customWidth="1"/>
    <col min="13829" max="13829" width="9.875" bestFit="1" customWidth="1"/>
    <col min="14082" max="14082" width="17" bestFit="1" customWidth="1"/>
    <col min="14083" max="14083" width="31.75" customWidth="1"/>
    <col min="14084" max="14084" width="32.875" customWidth="1"/>
    <col min="14085" max="14085" width="9.875" bestFit="1" customWidth="1"/>
    <col min="14338" max="14338" width="17" bestFit="1" customWidth="1"/>
    <col min="14339" max="14339" width="31.75" customWidth="1"/>
    <col min="14340" max="14340" width="32.875" customWidth="1"/>
    <col min="14341" max="14341" width="9.875" bestFit="1" customWidth="1"/>
    <col min="14594" max="14594" width="17" bestFit="1" customWidth="1"/>
    <col min="14595" max="14595" width="31.75" customWidth="1"/>
    <col min="14596" max="14596" width="32.875" customWidth="1"/>
    <col min="14597" max="14597" width="9.875" bestFit="1" customWidth="1"/>
    <col min="14850" max="14850" width="17" bestFit="1" customWidth="1"/>
    <col min="14851" max="14851" width="31.75" customWidth="1"/>
    <col min="14852" max="14852" width="32.875" customWidth="1"/>
    <col min="14853" max="14853" width="9.875" bestFit="1" customWidth="1"/>
    <col min="15106" max="15106" width="17" bestFit="1" customWidth="1"/>
    <col min="15107" max="15107" width="31.75" customWidth="1"/>
    <col min="15108" max="15108" width="32.875" customWidth="1"/>
    <col min="15109" max="15109" width="9.875" bestFit="1" customWidth="1"/>
    <col min="15362" max="15362" width="17" bestFit="1" customWidth="1"/>
    <col min="15363" max="15363" width="31.75" customWidth="1"/>
    <col min="15364" max="15364" width="32.875" customWidth="1"/>
    <col min="15365" max="15365" width="9.875" bestFit="1" customWidth="1"/>
    <col min="15618" max="15618" width="17" bestFit="1" customWidth="1"/>
    <col min="15619" max="15619" width="31.75" customWidth="1"/>
    <col min="15620" max="15620" width="32.875" customWidth="1"/>
    <col min="15621" max="15621" width="9.875" bestFit="1" customWidth="1"/>
    <col min="15874" max="15874" width="17" bestFit="1" customWidth="1"/>
    <col min="15875" max="15875" width="31.75" customWidth="1"/>
    <col min="15876" max="15876" width="32.875" customWidth="1"/>
    <col min="15877" max="15877" width="9.875" bestFit="1" customWidth="1"/>
    <col min="16130" max="16130" width="17" bestFit="1" customWidth="1"/>
    <col min="16131" max="16131" width="31.75" customWidth="1"/>
    <col min="16132" max="16132" width="32.875" customWidth="1"/>
    <col min="16133" max="16133" width="9.875" bestFit="1" customWidth="1"/>
  </cols>
  <sheetData>
    <row r="1" spans="2:9" ht="16.5" thickBot="1"/>
    <row r="2" spans="2:9" ht="36.75" thickBot="1">
      <c r="B2" s="450" t="s">
        <v>381</v>
      </c>
      <c r="C2" s="451" t="s">
        <v>382</v>
      </c>
      <c r="D2" s="452" t="s">
        <v>383</v>
      </c>
      <c r="E2" s="452" t="s">
        <v>383</v>
      </c>
    </row>
    <row r="3" spans="2:9" ht="25.5" thickTop="1" thickBot="1">
      <c r="B3" s="453" t="s">
        <v>384</v>
      </c>
      <c r="C3" s="454" t="s">
        <v>385</v>
      </c>
      <c r="D3" s="455">
        <v>203.9</v>
      </c>
      <c r="E3" s="455">
        <v>203.9</v>
      </c>
      <c r="F3" s="456"/>
    </row>
    <row r="4" spans="2:9" ht="24.75" thickBot="1">
      <c r="B4" s="457" t="s">
        <v>386</v>
      </c>
      <c r="C4" s="458" t="s">
        <v>387</v>
      </c>
      <c r="D4" s="459">
        <v>7197.12</v>
      </c>
      <c r="E4" s="459">
        <v>7197.12</v>
      </c>
      <c r="F4" s="456"/>
    </row>
    <row r="5" spans="2:9" ht="24.75" thickBot="1">
      <c r="B5" s="457" t="s">
        <v>388</v>
      </c>
      <c r="C5" s="458"/>
      <c r="D5" s="459"/>
      <c r="E5" s="459">
        <v>129.6</v>
      </c>
      <c r="F5" s="456"/>
    </row>
    <row r="6" spans="2:9" ht="24.75" thickBot="1">
      <c r="B6" s="457" t="s">
        <v>389</v>
      </c>
      <c r="C6" s="458" t="s">
        <v>390</v>
      </c>
      <c r="D6" s="459">
        <v>3714.34</v>
      </c>
      <c r="E6" s="459">
        <v>3714.34</v>
      </c>
      <c r="F6" s="456"/>
    </row>
    <row r="7" spans="2:9" ht="16.5" thickBot="1">
      <c r="B7" s="453" t="s">
        <v>391</v>
      </c>
      <c r="C7" s="454" t="s">
        <v>392</v>
      </c>
      <c r="D7" s="455">
        <v>432</v>
      </c>
      <c r="E7" s="455">
        <v>432</v>
      </c>
      <c r="F7" s="456"/>
    </row>
    <row r="8" spans="2:9" ht="24.75" thickBot="1">
      <c r="B8" s="453" t="s">
        <v>393</v>
      </c>
      <c r="C8" s="460"/>
      <c r="D8" s="455"/>
      <c r="E8" s="455">
        <v>432</v>
      </c>
      <c r="F8" s="456"/>
      <c r="I8" t="s">
        <v>106</v>
      </c>
    </row>
    <row r="9" spans="2:9" ht="16.5" thickBot="1">
      <c r="B9" s="457" t="s">
        <v>394</v>
      </c>
      <c r="C9" s="458" t="s">
        <v>147</v>
      </c>
      <c r="D9" s="459">
        <v>1088.6400000000001</v>
      </c>
      <c r="E9" s="459">
        <v>1088.6400000000001</v>
      </c>
      <c r="F9" s="456"/>
    </row>
    <row r="10" spans="2:9" ht="16.5" thickBot="1">
      <c r="B10" s="453" t="s">
        <v>395</v>
      </c>
      <c r="C10" s="454" t="s">
        <v>147</v>
      </c>
      <c r="D10" s="455">
        <v>616.9</v>
      </c>
      <c r="E10" s="455">
        <v>616.9</v>
      </c>
      <c r="F10" s="456"/>
    </row>
    <row r="11" spans="2:9" ht="16.5" thickBot="1">
      <c r="B11" s="457" t="s">
        <v>396</v>
      </c>
      <c r="C11" s="458" t="s">
        <v>147</v>
      </c>
      <c r="D11" s="459">
        <v>535.67999999999995</v>
      </c>
      <c r="E11" s="459">
        <v>535.67999999999995</v>
      </c>
      <c r="F11" s="456"/>
    </row>
    <row r="12" spans="2:9" ht="36.75" thickBot="1">
      <c r="B12" s="453" t="s">
        <v>397</v>
      </c>
      <c r="C12" s="454" t="s">
        <v>398</v>
      </c>
      <c r="D12" s="455"/>
      <c r="E12" s="455">
        <v>103680</v>
      </c>
      <c r="F12" s="456"/>
    </row>
    <row r="13" spans="2:9" ht="24.75" thickBot="1">
      <c r="B13" s="453" t="s">
        <v>399</v>
      </c>
      <c r="C13" s="460"/>
      <c r="D13" s="455"/>
      <c r="E13" s="455">
        <v>7197.12</v>
      </c>
      <c r="F13" s="456"/>
    </row>
    <row r="14" spans="2:9" ht="16.5" thickBot="1">
      <c r="B14" s="453" t="s">
        <v>400</v>
      </c>
      <c r="C14" s="460"/>
      <c r="D14" s="455"/>
      <c r="E14" s="455">
        <v>1200.96</v>
      </c>
      <c r="F14" s="456"/>
    </row>
    <row r="15" spans="2:9" ht="16.5" thickBot="1">
      <c r="B15" s="453" t="s">
        <v>401</v>
      </c>
      <c r="C15" s="460"/>
      <c r="D15" s="455"/>
      <c r="E15" s="455">
        <v>864</v>
      </c>
      <c r="F15" s="456"/>
    </row>
    <row r="16" spans="2:9" ht="24.75" thickBot="1">
      <c r="B16" s="457" t="s">
        <v>402</v>
      </c>
      <c r="C16" s="458" t="s">
        <v>403</v>
      </c>
      <c r="D16" s="459">
        <v>6652</v>
      </c>
      <c r="E16" s="459">
        <v>6652</v>
      </c>
      <c r="F16" s="456"/>
    </row>
    <row r="17" spans="2:6" ht="24.75" thickBot="1">
      <c r="B17" s="453" t="s">
        <v>404</v>
      </c>
      <c r="C17" s="454" t="s">
        <v>405</v>
      </c>
      <c r="D17" s="455">
        <v>14402.88</v>
      </c>
      <c r="E17" s="455">
        <v>14402.88</v>
      </c>
      <c r="F17" s="456"/>
    </row>
    <row r="18" spans="2:6" ht="16.5" thickBot="1">
      <c r="B18" s="457" t="s">
        <v>406</v>
      </c>
      <c r="C18" s="458" t="s">
        <v>407</v>
      </c>
      <c r="D18" s="459">
        <v>3456</v>
      </c>
      <c r="E18" s="459">
        <v>3456</v>
      </c>
      <c r="F18" s="456"/>
    </row>
    <row r="19" spans="2:6" ht="16.5" thickBot="1">
      <c r="B19" s="453" t="s">
        <v>408</v>
      </c>
      <c r="C19" s="454" t="s">
        <v>409</v>
      </c>
      <c r="D19" s="455">
        <v>6912</v>
      </c>
      <c r="E19" s="455">
        <v>6912</v>
      </c>
      <c r="F19" s="456"/>
    </row>
    <row r="20" spans="2:6">
      <c r="B20" s="461" t="s">
        <v>410</v>
      </c>
      <c r="C20" s="949" t="s">
        <v>411</v>
      </c>
      <c r="D20" s="951"/>
      <c r="E20" s="951">
        <v>2903.04</v>
      </c>
      <c r="F20" s="456"/>
    </row>
    <row r="21" spans="2:6" ht="16.5" thickBot="1">
      <c r="B21" s="462" t="s">
        <v>412</v>
      </c>
      <c r="C21" s="950"/>
      <c r="D21" s="952"/>
      <c r="E21" s="952"/>
      <c r="F21" s="456"/>
    </row>
    <row r="22" spans="2:6" ht="16.5" thickBot="1">
      <c r="B22" s="462" t="s">
        <v>413</v>
      </c>
      <c r="C22" s="463"/>
      <c r="D22" s="459"/>
      <c r="E22" s="459">
        <v>596.16</v>
      </c>
      <c r="F22" s="456"/>
    </row>
    <row r="23" spans="2:6">
      <c r="B23" s="461" t="s">
        <v>414</v>
      </c>
      <c r="C23" s="949"/>
      <c r="D23" s="951"/>
      <c r="E23" s="951">
        <v>717.12</v>
      </c>
      <c r="F23" s="456"/>
    </row>
    <row r="24" spans="2:6" ht="16.5" thickBot="1">
      <c r="B24" s="462" t="s">
        <v>415</v>
      </c>
      <c r="C24" s="950"/>
      <c r="D24" s="952"/>
      <c r="E24" s="952"/>
      <c r="F24" s="456"/>
    </row>
    <row r="25" spans="2:6" ht="24.75" thickBot="1">
      <c r="B25" s="453" t="s">
        <v>416</v>
      </c>
      <c r="C25" s="454" t="s">
        <v>417</v>
      </c>
      <c r="D25" s="455">
        <v>8640</v>
      </c>
      <c r="E25" s="455">
        <v>8640</v>
      </c>
      <c r="F25" s="456"/>
    </row>
    <row r="26" spans="2:6" ht="16.5" thickBot="1">
      <c r="B26" s="453" t="s">
        <v>418</v>
      </c>
      <c r="C26" s="460"/>
      <c r="D26" s="455"/>
      <c r="E26" s="455">
        <v>14400.29</v>
      </c>
      <c r="F26" s="456"/>
    </row>
    <row r="27" spans="2:6" ht="24.75" thickBot="1">
      <c r="B27" s="453" t="s">
        <v>419</v>
      </c>
      <c r="C27" s="460"/>
      <c r="D27" s="455"/>
      <c r="E27" s="455">
        <v>5996</v>
      </c>
      <c r="F27" s="456"/>
    </row>
    <row r="28" spans="2:6" ht="16.5" thickBot="1">
      <c r="B28" s="453" t="s">
        <v>420</v>
      </c>
      <c r="C28" s="460"/>
      <c r="D28" s="455">
        <v>302.39999999999998</v>
      </c>
      <c r="E28" s="455">
        <v>302.39999999999998</v>
      </c>
      <c r="F28" s="456"/>
    </row>
    <row r="29" spans="2:6" ht="16.5" thickBot="1">
      <c r="B29" s="457" t="s">
        <v>421</v>
      </c>
      <c r="C29" s="463" t="s">
        <v>422</v>
      </c>
      <c r="D29" s="459">
        <v>701.57</v>
      </c>
      <c r="E29" s="459">
        <v>701.57</v>
      </c>
      <c r="F29" s="456"/>
    </row>
    <row r="30" spans="2:6" ht="24.75" thickBot="1">
      <c r="B30" s="453" t="s">
        <v>423</v>
      </c>
      <c r="C30" s="454" t="s">
        <v>424</v>
      </c>
      <c r="D30" s="455">
        <v>20736</v>
      </c>
      <c r="E30" s="455">
        <v>20736</v>
      </c>
      <c r="F30" s="456"/>
    </row>
    <row r="31" spans="2:6" ht="24.75" thickBot="1">
      <c r="B31" s="453" t="s">
        <v>425</v>
      </c>
      <c r="C31" s="460"/>
      <c r="D31" s="455">
        <v>3551.04</v>
      </c>
      <c r="E31" s="455">
        <v>3551.04</v>
      </c>
      <c r="F31" s="456"/>
    </row>
    <row r="32" spans="2:6" ht="16.5" thickBot="1">
      <c r="B32" s="462" t="s">
        <v>426</v>
      </c>
      <c r="C32" s="463" t="s">
        <v>427</v>
      </c>
      <c r="D32" s="459">
        <v>1002.24</v>
      </c>
      <c r="E32" s="459">
        <v>1002.24</v>
      </c>
      <c r="F32" s="456"/>
    </row>
    <row r="33" spans="2:5" ht="16.5" thickBot="1">
      <c r="D33" s="585">
        <f>SUM(D3:D32)</f>
        <v>80144.709999999992</v>
      </c>
      <c r="E33" s="259">
        <f>SUM(E3:E32)</f>
        <v>218261.00000000003</v>
      </c>
    </row>
    <row r="35" spans="2:5">
      <c r="E35" s="374"/>
    </row>
    <row r="36" spans="2:5">
      <c r="B36" s="947" t="s">
        <v>116</v>
      </c>
      <c r="C36" s="947" t="s">
        <v>382</v>
      </c>
      <c r="D36" s="944" t="s">
        <v>557</v>
      </c>
      <c r="E36" s="946"/>
    </row>
    <row r="37" spans="2:5">
      <c r="B37" s="948"/>
      <c r="C37" s="948"/>
      <c r="D37" s="752" t="s">
        <v>558</v>
      </c>
      <c r="E37" s="752" t="s">
        <v>559</v>
      </c>
    </row>
    <row r="38" spans="2:5">
      <c r="B38" s="944" t="s">
        <v>323</v>
      </c>
      <c r="C38" s="945"/>
      <c r="D38" s="945"/>
      <c r="E38" s="946"/>
    </row>
    <row r="39" spans="2:5">
      <c r="B39" s="753" t="s">
        <v>560</v>
      </c>
      <c r="C39" s="754" t="s">
        <v>561</v>
      </c>
      <c r="D39" s="755">
        <v>58</v>
      </c>
      <c r="E39" s="756">
        <v>5011.2</v>
      </c>
    </row>
    <row r="40" spans="2:5">
      <c r="B40" s="753" t="s">
        <v>562</v>
      </c>
      <c r="C40" s="754" t="s">
        <v>403</v>
      </c>
      <c r="D40" s="755">
        <v>76.989999999999995</v>
      </c>
      <c r="E40" s="755">
        <v>6652</v>
      </c>
    </row>
    <row r="41" spans="2:5">
      <c r="B41" s="753" t="s">
        <v>384</v>
      </c>
      <c r="C41" s="757" t="s">
        <v>385</v>
      </c>
      <c r="D41" s="755">
        <v>6.94</v>
      </c>
      <c r="E41" s="755">
        <v>203.9</v>
      </c>
    </row>
    <row r="42" spans="2:5">
      <c r="B42" s="753" t="s">
        <v>563</v>
      </c>
      <c r="C42" s="754" t="s">
        <v>564</v>
      </c>
      <c r="D42" s="755">
        <v>7.52</v>
      </c>
      <c r="E42" s="755">
        <v>7197.12</v>
      </c>
    </row>
    <row r="43" spans="2:5" ht="23.25">
      <c r="B43" s="753" t="s">
        <v>565</v>
      </c>
      <c r="C43" s="754" t="s">
        <v>566</v>
      </c>
      <c r="D43" s="755">
        <v>4.92</v>
      </c>
      <c r="E43" s="755">
        <v>3714.34</v>
      </c>
    </row>
    <row r="44" spans="2:5">
      <c r="B44" s="753" t="s">
        <v>567</v>
      </c>
      <c r="C44" s="754" t="s">
        <v>405</v>
      </c>
      <c r="D44" s="755">
        <v>166.67</v>
      </c>
      <c r="E44" s="755">
        <v>14402.88</v>
      </c>
    </row>
    <row r="45" spans="2:5">
      <c r="B45" s="753" t="s">
        <v>568</v>
      </c>
      <c r="C45" s="754" t="s">
        <v>407</v>
      </c>
      <c r="D45" s="755">
        <v>40</v>
      </c>
      <c r="E45" s="755">
        <v>3456</v>
      </c>
    </row>
    <row r="46" spans="2:5">
      <c r="B46" s="753" t="s">
        <v>569</v>
      </c>
      <c r="C46" s="754" t="s">
        <v>570</v>
      </c>
      <c r="D46" s="755">
        <v>80</v>
      </c>
      <c r="E46" s="755">
        <v>6912</v>
      </c>
    </row>
    <row r="47" spans="2:5">
      <c r="B47" s="758" t="s">
        <v>571</v>
      </c>
      <c r="C47" s="759"/>
      <c r="D47" s="760">
        <f>SUM(D38:D46)</f>
        <v>441.03999999999996</v>
      </c>
      <c r="E47" s="760">
        <f>SUM(E39:E46)</f>
        <v>47549.440000000002</v>
      </c>
    </row>
    <row r="48" spans="2:5">
      <c r="B48" s="944" t="s">
        <v>572</v>
      </c>
      <c r="C48" s="945"/>
      <c r="D48" s="945"/>
      <c r="E48" s="946"/>
    </row>
    <row r="49" spans="2:5">
      <c r="B49" s="757" t="s">
        <v>573</v>
      </c>
      <c r="C49" s="754" t="s">
        <v>574</v>
      </c>
      <c r="D49" s="755">
        <v>33</v>
      </c>
      <c r="E49" s="755">
        <v>2851</v>
      </c>
    </row>
    <row r="50" spans="2:5">
      <c r="B50" s="753" t="s">
        <v>575</v>
      </c>
      <c r="C50" s="754" t="s">
        <v>576</v>
      </c>
      <c r="D50" s="755">
        <v>9.5500000000000007</v>
      </c>
      <c r="E50" s="755">
        <v>1002.24</v>
      </c>
    </row>
    <row r="51" spans="2:5">
      <c r="B51" s="758" t="s">
        <v>577</v>
      </c>
      <c r="C51" s="759"/>
      <c r="D51" s="761">
        <f>SUM(D49:D50)</f>
        <v>42.55</v>
      </c>
      <c r="E51" s="761">
        <f>SUM(E49:E50)</f>
        <v>3853.24</v>
      </c>
    </row>
    <row r="52" spans="2:5">
      <c r="B52" s="944" t="s">
        <v>537</v>
      </c>
      <c r="C52" s="945"/>
      <c r="D52" s="945"/>
      <c r="E52" s="946"/>
    </row>
    <row r="53" spans="2:5">
      <c r="B53" s="753" t="s">
        <v>578</v>
      </c>
      <c r="C53" s="757" t="s">
        <v>579</v>
      </c>
      <c r="D53" s="755">
        <v>16.489999999999998</v>
      </c>
      <c r="E53" s="755">
        <v>701.57</v>
      </c>
    </row>
    <row r="54" spans="2:5">
      <c r="B54" s="753" t="s">
        <v>391</v>
      </c>
      <c r="C54" s="757" t="s">
        <v>392</v>
      </c>
      <c r="D54" s="755">
        <v>2.78</v>
      </c>
      <c r="E54" s="755">
        <v>432</v>
      </c>
    </row>
    <row r="55" spans="2:5">
      <c r="B55" s="758" t="s">
        <v>580</v>
      </c>
      <c r="C55" s="759"/>
      <c r="D55" s="760">
        <f>SUM(D53:D54)</f>
        <v>19.27</v>
      </c>
      <c r="E55" s="760">
        <f>SUM(E53:E54)</f>
        <v>1133.5700000000002</v>
      </c>
    </row>
    <row r="56" spans="2:5">
      <c r="B56" s="944" t="s">
        <v>539</v>
      </c>
      <c r="C56" s="945"/>
      <c r="D56" s="945"/>
      <c r="E56" s="946"/>
    </row>
    <row r="57" spans="2:5">
      <c r="B57" s="753" t="s">
        <v>581</v>
      </c>
      <c r="C57" s="754" t="s">
        <v>582</v>
      </c>
      <c r="D57" s="755">
        <v>26.67</v>
      </c>
      <c r="E57" s="755">
        <v>1088.6400000000001</v>
      </c>
    </row>
    <row r="58" spans="2:5">
      <c r="B58" s="753" t="s">
        <v>395</v>
      </c>
      <c r="C58" s="754" t="s">
        <v>582</v>
      </c>
      <c r="D58" s="755">
        <v>12.95</v>
      </c>
      <c r="E58" s="755">
        <v>616.9</v>
      </c>
    </row>
    <row r="59" spans="2:5">
      <c r="B59" s="753" t="s">
        <v>583</v>
      </c>
      <c r="C59" s="762" t="s">
        <v>582</v>
      </c>
      <c r="D59" s="755">
        <v>13.42</v>
      </c>
      <c r="E59" s="755">
        <v>535.67999999999995</v>
      </c>
    </row>
    <row r="60" spans="2:5">
      <c r="B60" s="753" t="s">
        <v>584</v>
      </c>
      <c r="C60" s="757" t="s">
        <v>585</v>
      </c>
      <c r="D60" s="755">
        <v>12.26</v>
      </c>
      <c r="E60" s="755">
        <v>302.39999999999998</v>
      </c>
    </row>
    <row r="61" spans="2:5">
      <c r="B61" s="758" t="s">
        <v>586</v>
      </c>
      <c r="C61" s="759"/>
      <c r="D61" s="760">
        <f>SUM(D57:D60)</f>
        <v>65.300000000000011</v>
      </c>
      <c r="E61" s="760">
        <f>SUM(E57:E60)</f>
        <v>2543.62</v>
      </c>
    </row>
    <row r="62" spans="2:5">
      <c r="B62" s="944" t="s">
        <v>538</v>
      </c>
      <c r="C62" s="945"/>
      <c r="D62" s="945"/>
      <c r="E62" s="946"/>
    </row>
    <row r="63" spans="2:5">
      <c r="B63" s="753" t="s">
        <v>587</v>
      </c>
      <c r="C63" s="754" t="s">
        <v>417</v>
      </c>
      <c r="D63" s="755">
        <v>100</v>
      </c>
      <c r="E63" s="755">
        <v>8640</v>
      </c>
    </row>
    <row r="64" spans="2:5">
      <c r="B64" s="753" t="s">
        <v>588</v>
      </c>
      <c r="C64" s="757" t="s">
        <v>589</v>
      </c>
      <c r="D64" s="755">
        <v>134.5</v>
      </c>
      <c r="E64" s="755">
        <v>20736</v>
      </c>
    </row>
    <row r="65" spans="2:5">
      <c r="B65" s="753" t="s">
        <v>590</v>
      </c>
      <c r="C65" s="757" t="s">
        <v>591</v>
      </c>
      <c r="D65" s="755">
        <v>23</v>
      </c>
      <c r="E65" s="755">
        <v>3551.04</v>
      </c>
    </row>
    <row r="66" spans="2:5">
      <c r="B66" s="758" t="s">
        <v>592</v>
      </c>
      <c r="C66" s="758"/>
      <c r="D66" s="760">
        <f>SUM(D63:D65)</f>
        <v>257.5</v>
      </c>
      <c r="E66" s="760">
        <f>SUM(E63:E65)</f>
        <v>32927.040000000001</v>
      </c>
    </row>
    <row r="67" spans="2:5">
      <c r="B67" s="759" t="s">
        <v>593</v>
      </c>
      <c r="C67" s="759"/>
      <c r="D67" s="763"/>
      <c r="E67" s="763">
        <f>SUM(E66,E61,E55,E51,E47,)</f>
        <v>88006.91</v>
      </c>
    </row>
  </sheetData>
  <mergeCells count="14">
    <mergeCell ref="C20:C21"/>
    <mergeCell ref="D20:D21"/>
    <mergeCell ref="E20:E21"/>
    <mergeCell ref="C23:C24"/>
    <mergeCell ref="D23:D24"/>
    <mergeCell ref="E23:E24"/>
    <mergeCell ref="B52:E52"/>
    <mergeCell ref="B56:E56"/>
    <mergeCell ref="B62:E62"/>
    <mergeCell ref="B36:B37"/>
    <mergeCell ref="C36:C37"/>
    <mergeCell ref="D36:E36"/>
    <mergeCell ref="B38:E38"/>
    <mergeCell ref="B48:E4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A21B1-C529-43F5-BF63-4523C435C5A0}">
  <sheetPr codeName="Hoja19"/>
  <dimension ref="B3:O24"/>
  <sheetViews>
    <sheetView zoomScale="85" zoomScaleNormal="85" workbookViewId="0">
      <selection activeCell="H7" sqref="H7"/>
    </sheetView>
  </sheetViews>
  <sheetFormatPr baseColWidth="10" defaultRowHeight="15.75"/>
  <cols>
    <col min="1" max="1" width="2.875" customWidth="1"/>
    <col min="2" max="2" width="12.75" customWidth="1"/>
    <col min="3" max="3" width="33.625" customWidth="1"/>
    <col min="5" max="5" width="12.875" bestFit="1" customWidth="1"/>
  </cols>
  <sheetData>
    <row r="3" spans="2:15">
      <c r="B3" t="s">
        <v>468</v>
      </c>
      <c r="C3" t="s">
        <v>452</v>
      </c>
      <c r="D3" t="s">
        <v>453</v>
      </c>
      <c r="E3" t="s">
        <v>454</v>
      </c>
      <c r="F3" t="s">
        <v>455</v>
      </c>
      <c r="G3" t="s">
        <v>281</v>
      </c>
      <c r="H3" t="s">
        <v>282</v>
      </c>
      <c r="I3" t="s">
        <v>283</v>
      </c>
      <c r="J3" t="s">
        <v>284</v>
      </c>
      <c r="K3" t="s">
        <v>285</v>
      </c>
      <c r="L3" t="s">
        <v>286</v>
      </c>
      <c r="M3" t="s">
        <v>287</v>
      </c>
      <c r="N3" t="s">
        <v>288</v>
      </c>
      <c r="O3" t="s">
        <v>289</v>
      </c>
    </row>
    <row r="4" spans="2:15" ht="31.5">
      <c r="B4" s="626" t="s">
        <v>463</v>
      </c>
      <c r="C4" s="626" t="s">
        <v>447</v>
      </c>
      <c r="D4" s="695">
        <f>'UNIDADES AGUA 23 23-25'!F22/'cobertura de alcantarillado san'!F32*100</f>
        <v>0</v>
      </c>
      <c r="E4" s="695">
        <f>'UNIDADES AGUA 23 23-25'!F23/'cobertura de alcantarillado san'!G32*100</f>
        <v>98.518274694734458</v>
      </c>
      <c r="F4" s="695">
        <f>'UNIDADES AGUA 23 23-25'!F24/'cobertura de alcantarillado san'!H32*100</f>
        <v>98.457986908880343</v>
      </c>
      <c r="G4" s="695">
        <f>'UNIDADES AGUA 23 23-25'!F25/'cobertura de alcantarillado san'!I32*100</f>
        <v>98.148905602885762</v>
      </c>
      <c r="H4" s="695">
        <f>'UNIDADES AGUA 23 23-25'!F26/'cobertura de alcantarillado san'!J32*100</f>
        <v>98.584137598682815</v>
      </c>
      <c r="I4" s="695">
        <f>'UNIDADES AGUA 23 23-25'!F27/'cobertura de alcantarillado san'!K32*100</f>
        <v>98.528368050851611</v>
      </c>
      <c r="J4" s="695"/>
      <c r="K4" s="695"/>
      <c r="L4" s="695"/>
      <c r="M4" s="695"/>
      <c r="N4" s="800"/>
      <c r="O4" s="800"/>
    </row>
    <row r="5" spans="2:15" ht="47.25">
      <c r="B5" s="626" t="s">
        <v>464</v>
      </c>
      <c r="C5" s="626" t="s">
        <v>448</v>
      </c>
      <c r="D5" s="695">
        <f>'cobertura de alcantarillado san'!F34/'cobertura de alcantarillado san'!F32*100</f>
        <v>0</v>
      </c>
      <c r="E5" s="695">
        <f>'cobertura de alcantarillado san'!G34/'cobertura de alcantarillado san'!G32*100</f>
        <v>57.042673177566641</v>
      </c>
      <c r="F5" s="695">
        <f>'cobertura de alcantarillado san'!H34/'cobertura de alcantarillado san'!H32*100</f>
        <v>59.129026624418756</v>
      </c>
      <c r="G5" s="695">
        <f>'cobertura de alcantarillado san'!I34/'cobertura de alcantarillado san'!I32*100</f>
        <v>33.225118240209191</v>
      </c>
      <c r="H5" s="695">
        <f>'cobertura de alcantarillado san'!J34/'cobertura de alcantarillado san'!J32*100</f>
        <v>33.511974290026764</v>
      </c>
      <c r="I5" s="695">
        <f>'cobertura de alcantarillado san'!K34/'cobertura de alcantarillado san'!K32*100</f>
        <v>33.283694971852626</v>
      </c>
      <c r="J5" s="695"/>
      <c r="K5" s="695"/>
      <c r="L5" s="695"/>
      <c r="M5" s="695"/>
      <c r="N5" s="695"/>
      <c r="O5" s="695"/>
    </row>
    <row r="6" spans="2:15" ht="31.5">
      <c r="B6" s="626" t="s">
        <v>465</v>
      </c>
      <c r="C6" s="626" t="s">
        <v>449</v>
      </c>
      <c r="D6" s="695">
        <f>'Producción MGD'!D43/536.437*100</f>
        <v>84.684122784583366</v>
      </c>
      <c r="E6" s="695">
        <f>'Producción MGD'!E43/536.437*100</f>
        <v>85.104275325634021</v>
      </c>
      <c r="F6" s="695">
        <f>'Producción MGD'!F43/536.437*100</f>
        <v>81.99465685986516</v>
      </c>
      <c r="G6" s="695">
        <f>'Producción MGD'!G43/536.437*100</f>
        <v>81.317116455427197</v>
      </c>
      <c r="H6" s="695">
        <f>'Producción MGD'!H43/536.437*100</f>
        <v>79.618248169959159</v>
      </c>
      <c r="I6" s="695">
        <f>'Producción MGD'!I43/536.437*100</f>
        <v>82.60241805344026</v>
      </c>
      <c r="J6" s="695"/>
      <c r="K6" s="695"/>
      <c r="L6" s="695"/>
      <c r="M6" s="695"/>
      <c r="N6" s="695"/>
      <c r="O6" s="695"/>
    </row>
    <row r="7" spans="2:15" ht="31.5">
      <c r="B7" s="626" t="s">
        <v>466</v>
      </c>
      <c r="C7" s="626" t="s">
        <v>450</v>
      </c>
      <c r="D7" s="121" t="e">
        <f>'cobertura de alcantarillado san'!F41/'cobertura de alcantarillado san'!F38*100</f>
        <v>#DIV/0!</v>
      </c>
      <c r="E7" s="121">
        <f>'cobertura de alcantarillado san'!G41/'cobertura de alcantarillado san'!G38*100</f>
        <v>17.398066249228101</v>
      </c>
      <c r="F7" s="121">
        <f>'cobertura de alcantarillado san'!H41/'cobertura de alcantarillado san'!H38*100</f>
        <v>16.773012557883316</v>
      </c>
      <c r="G7" s="121">
        <f>'cobertura de alcantarillado san'!I41/'cobertura de alcantarillado san'!I38*100</f>
        <v>29.830216889865941</v>
      </c>
      <c r="H7" s="121">
        <f>'cobertura de alcantarillado san'!J41/'cobertura de alcantarillado san'!J38*100</f>
        <v>29.555224894377925</v>
      </c>
      <c r="I7" s="121">
        <f>'cobertura de alcantarillado san'!K41/'cobertura de alcantarillado san'!K38*100</f>
        <v>29.738172570582066</v>
      </c>
      <c r="J7" s="121"/>
      <c r="K7" s="121"/>
      <c r="L7" s="121"/>
      <c r="M7" s="121"/>
      <c r="N7" s="121"/>
      <c r="O7" s="121"/>
    </row>
    <row r="8" spans="2:15" ht="47.25">
      <c r="B8" s="626" t="s">
        <v>467</v>
      </c>
      <c r="C8" s="626" t="s">
        <v>451</v>
      </c>
      <c r="H8" s="5">
        <f>'UNIDADES AGUA 23 23-25'!F30/'cobertura de alcantarillado san'!J36*100</f>
        <v>33.425925006346304</v>
      </c>
      <c r="J8" s="5"/>
      <c r="K8" s="5">
        <f>'UNIDADES AGUA 23 23-25'!G31/'cobertura de alcantarillado san'!M36*100</f>
        <v>0</v>
      </c>
      <c r="L8" s="5">
        <v>36.33</v>
      </c>
      <c r="M8" s="121">
        <v>25</v>
      </c>
      <c r="N8" s="121"/>
      <c r="O8" s="121"/>
    </row>
    <row r="10" spans="2:15">
      <c r="C10" s="830" t="s">
        <v>603</v>
      </c>
    </row>
    <row r="11" spans="2:15">
      <c r="B11" s="829" t="s">
        <v>463</v>
      </c>
      <c r="C11" t="s">
        <v>604</v>
      </c>
    </row>
    <row r="12" spans="2:15">
      <c r="B12" s="829" t="s">
        <v>464</v>
      </c>
      <c r="C12" t="s">
        <v>605</v>
      </c>
    </row>
    <row r="13" spans="2:15">
      <c r="B13" s="829" t="s">
        <v>465</v>
      </c>
    </row>
    <row r="14" spans="2:15">
      <c r="B14" s="829" t="s">
        <v>466</v>
      </c>
      <c r="C14" t="s">
        <v>606</v>
      </c>
    </row>
    <row r="16" spans="2:15">
      <c r="C16" t="s">
        <v>527</v>
      </c>
      <c r="D16" t="s">
        <v>528</v>
      </c>
      <c r="E16" t="s">
        <v>526</v>
      </c>
    </row>
    <row r="17" spans="3:5">
      <c r="C17" t="s">
        <v>514</v>
      </c>
      <c r="D17" t="s">
        <v>515</v>
      </c>
      <c r="E17">
        <v>363.15300000000002</v>
      </c>
    </row>
    <row r="18" spans="3:5">
      <c r="C18" t="s">
        <v>516</v>
      </c>
      <c r="D18" t="s">
        <v>517</v>
      </c>
      <c r="E18">
        <v>349.19900000000001</v>
      </c>
    </row>
    <row r="19" spans="3:5">
      <c r="C19" t="s">
        <v>518</v>
      </c>
      <c r="D19">
        <v>674.274</v>
      </c>
      <c r="E19">
        <v>223.49199999999999</v>
      </c>
    </row>
    <row r="20" spans="3:5">
      <c r="C20" t="s">
        <v>519</v>
      </c>
      <c r="D20">
        <v>410.57799999999997</v>
      </c>
      <c r="E20">
        <v>142.56399999999999</v>
      </c>
    </row>
    <row r="21" spans="3:5">
      <c r="C21" t="s">
        <v>520</v>
      </c>
      <c r="D21">
        <v>336.30700000000002</v>
      </c>
      <c r="E21">
        <v>111.414</v>
      </c>
    </row>
    <row r="22" spans="3:5">
      <c r="C22" t="s">
        <v>521</v>
      </c>
      <c r="D22">
        <v>59.298999999999999</v>
      </c>
      <c r="E22">
        <v>20.658999999999999</v>
      </c>
    </row>
    <row r="23" spans="3:5">
      <c r="C23" t="s">
        <v>522</v>
      </c>
      <c r="D23">
        <v>92.972999999999999</v>
      </c>
      <c r="E23">
        <v>30.981999999999999</v>
      </c>
    </row>
    <row r="24" spans="3:5">
      <c r="C24" t="s">
        <v>523</v>
      </c>
      <c r="D24" t="s">
        <v>524</v>
      </c>
      <c r="E24" t="s">
        <v>525</v>
      </c>
    </row>
  </sheetData>
  <phoneticPr fontId="105" type="noConversion"/>
  <pageMargins left="0.7" right="0.7" top="0.75" bottom="0.75" header="0.3" footer="0.3"/>
  <legacyDrawing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3FDD2-1241-4AA0-AD04-F2F3FA963DC1}">
  <sheetPr codeName="Hoja20"/>
  <dimension ref="B17:J50"/>
  <sheetViews>
    <sheetView topLeftCell="A19" workbookViewId="0">
      <selection activeCell="G24" sqref="G24"/>
    </sheetView>
  </sheetViews>
  <sheetFormatPr baseColWidth="10" defaultRowHeight="15.75"/>
  <cols>
    <col min="2" max="3" width="15.5" bestFit="1" customWidth="1"/>
    <col min="4" max="4" width="15.5" customWidth="1"/>
    <col min="5" max="5" width="16.125" customWidth="1"/>
    <col min="7" max="7" width="29.875" customWidth="1"/>
  </cols>
  <sheetData>
    <row r="17" spans="4:5">
      <c r="D17" s="869" t="s">
        <v>594</v>
      </c>
      <c r="E17" s="869"/>
    </row>
    <row r="34" spans="2:10">
      <c r="B34" t="s">
        <v>541</v>
      </c>
      <c r="C34" t="s">
        <v>551</v>
      </c>
    </row>
    <row r="35" spans="2:10">
      <c r="B35" s="47">
        <v>316747678.90006399</v>
      </c>
      <c r="C35" s="47">
        <v>110307084.47859199</v>
      </c>
    </row>
    <row r="47" spans="2:10">
      <c r="H47" t="s">
        <v>123</v>
      </c>
      <c r="I47" t="s">
        <v>124</v>
      </c>
      <c r="J47" t="s">
        <v>125</v>
      </c>
    </row>
    <row r="48" spans="2:10" ht="34.5">
      <c r="G48" s="394" t="s">
        <v>364</v>
      </c>
      <c r="H48" s="280">
        <v>882057.40833333321</v>
      </c>
      <c r="I48" s="280">
        <v>882781.18666666665</v>
      </c>
      <c r="J48" s="280">
        <v>883504.96499999985</v>
      </c>
    </row>
    <row r="49" spans="7:10" ht="45.75">
      <c r="G49" s="586" t="s">
        <v>354</v>
      </c>
      <c r="H49" s="280">
        <v>308881.04399999994</v>
      </c>
      <c r="I49" s="280">
        <v>308733.44399999996</v>
      </c>
      <c r="J49" s="280">
        <v>309115.728</v>
      </c>
    </row>
    <row r="50" spans="7:10">
      <c r="G50" s="332" t="s">
        <v>360</v>
      </c>
      <c r="H50" s="280">
        <v>88006.91</v>
      </c>
      <c r="I50" s="280">
        <v>88006.91</v>
      </c>
      <c r="J50" s="280">
        <v>88006.91</v>
      </c>
    </row>
  </sheetData>
  <mergeCells count="1">
    <mergeCell ref="D17:E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FACTURACION</vt:lpstr>
      <vt:lpstr>Facturación 23-25</vt:lpstr>
      <vt:lpstr>Facturación con mora</vt:lpstr>
      <vt:lpstr>Recaudación 23-25</vt:lpstr>
      <vt:lpstr>Clientes agua 23-25</vt:lpstr>
      <vt:lpstr>Clientes alcantarillado 23-25</vt:lpstr>
      <vt:lpstr>Resumen Clientes </vt:lpstr>
      <vt:lpstr>UNIDADES AGUA 23 23-25</vt:lpstr>
      <vt:lpstr>UNIDADES ALCANTARILLADO 23-25</vt:lpstr>
      <vt:lpstr>Resumen comercial</vt:lpstr>
      <vt:lpstr>Consumo de agua x tipo cliente </vt:lpstr>
      <vt:lpstr>produccion m3 por seg-MENSUAL</vt:lpstr>
      <vt:lpstr>Prod M3</vt:lpstr>
      <vt:lpstr>Producción MG</vt:lpstr>
      <vt:lpstr>Producción MGD</vt:lpstr>
      <vt:lpstr>Laboratorio</vt:lpstr>
      <vt:lpstr>LABORATORIO POR GENERO</vt:lpstr>
      <vt:lpstr>Aguas Residuales Domésticas Rec</vt:lpstr>
      <vt:lpstr>cobertura de alcantarillado san</vt:lpstr>
      <vt:lpstr>pLANTAS DE TRATAMIENTO</vt:lpstr>
      <vt:lpstr>INDICADORES CAASD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A. Pascual Rober</dc:creator>
  <cp:lastModifiedBy>User.App54</cp:lastModifiedBy>
  <dcterms:created xsi:type="dcterms:W3CDTF">2023-01-27T14:40:30Z</dcterms:created>
  <dcterms:modified xsi:type="dcterms:W3CDTF">2025-07-10T12:38:13Z</dcterms:modified>
</cp:coreProperties>
</file>